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showHorizontalScroll="0" showVerticalScroll="0" showSheetTabs="0" xWindow="480" yWindow="105" windowWidth="15480" windowHeight="7995" tabRatio="328" firstSheet="1" activeTab="2"/>
  </bookViews>
  <sheets>
    <sheet name="البريد السعودي" sheetId="3" r:id="rId1"/>
    <sheet name="الفروقات لموظفي البريد السوعودي" sheetId="2" r:id="rId2"/>
    <sheet name="سلم رواتب موظفي ومستخدمي وعمال " sheetId="1" r:id="rId3"/>
  </sheets>
  <definedNames>
    <definedName name="_xlnm.Print_Area" localSheetId="0">'البريد السعودي'!$A$1:$V$19</definedName>
    <definedName name="_xlnm.Print_Area" localSheetId="1">'الفروقات لموظفي البريد السوعودي'!$A$1:$S$15</definedName>
    <definedName name="_xlnm.Print_Area" localSheetId="2">'سلم رواتب موظفي ومستخدمي وعمال '!$A$1:$V$22</definedName>
    <definedName name="Z_72AE6789_5EC9_4052_B5F7_0017A43C5393_.wvu.PrintArea" localSheetId="0" hidden="1">'البريد السعودي'!$A$1:$T$19</definedName>
    <definedName name="Z_72AE6789_5EC9_4052_B5F7_0017A43C5393_.wvu.PrintArea" localSheetId="1" hidden="1">'الفروقات لموظفي البريد السوعودي'!$A$1:$T$14</definedName>
    <definedName name="Z_72AE6789_5EC9_4052_B5F7_0017A43C5393_.wvu.PrintArea" localSheetId="2" hidden="1">'سلم رواتب موظفي ومستخدمي وعمال '!$A$1:$T$22</definedName>
    <definedName name="الانتقال_الى_الرواتب">'الفروقات لموظفي البريد السوعودي'!$A$6</definedName>
    <definedName name="الانتقال_الى_الرواتب_قبل_المكرمة">'سلم رواتب موظفي ومستخدمي وعمال '!$A$8</definedName>
    <definedName name="تصميم_عيسى_ابراهيم_الملاح" localSheetId="0">'البريد السعودي'!$A$1:$T$19</definedName>
    <definedName name="تصميم_عيسى_ابراهيم_الملاح" localSheetId="1">'الفروقات لموظفي البريد السوعودي'!$A$1:$T$14</definedName>
    <definedName name="تصميم_عيسى_ابراهيم_الملاح">'سلم رواتب موظفي ومستخدمي وعمال '!$A$1:$T$22</definedName>
  </definedNames>
  <calcPr calcId="144525"/>
</workbook>
</file>

<file path=xl/calcChain.xml><?xml version="1.0" encoding="utf-8"?>
<calcChain xmlns="http://schemas.openxmlformats.org/spreadsheetml/2006/main">
  <c r="B15" i="1" l="1"/>
  <c r="B12" i="3" l="1"/>
  <c r="V18" i="3"/>
  <c r="U18" i="3"/>
  <c r="T18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V16" i="3"/>
  <c r="U16" i="3"/>
  <c r="T16" i="3"/>
  <c r="V15" i="3"/>
  <c r="U15" i="3"/>
  <c r="T15" i="3"/>
  <c r="C15" i="3"/>
  <c r="V14" i="3"/>
  <c r="U14" i="3"/>
  <c r="T14" i="3"/>
  <c r="V13" i="3"/>
  <c r="U13" i="3"/>
  <c r="T13" i="3"/>
  <c r="V12" i="3"/>
  <c r="U12" i="3"/>
  <c r="T12" i="3"/>
  <c r="S12" i="3"/>
  <c r="R12" i="3"/>
  <c r="P12" i="3"/>
  <c r="V11" i="3"/>
  <c r="U11" i="3"/>
  <c r="T11" i="3"/>
  <c r="V10" i="3"/>
  <c r="U10" i="3"/>
  <c r="T10" i="3"/>
  <c r="V9" i="3"/>
  <c r="U9" i="3"/>
  <c r="T9" i="3"/>
  <c r="C9" i="3"/>
  <c r="C11" i="3" s="1"/>
  <c r="V8" i="3"/>
  <c r="U8" i="3"/>
  <c r="T8" i="3"/>
  <c r="S8" i="3"/>
  <c r="R8" i="3"/>
  <c r="Q8" i="3"/>
  <c r="P8" i="3"/>
  <c r="O8" i="3"/>
  <c r="S7" i="3"/>
  <c r="S6" i="3"/>
  <c r="E6" i="3"/>
  <c r="C6" i="3"/>
  <c r="B6" i="3"/>
  <c r="S5" i="3"/>
  <c r="C5" i="3"/>
  <c r="S4" i="3"/>
  <c r="C12" i="3" l="1"/>
  <c r="E12" i="3"/>
  <c r="I12" i="3"/>
  <c r="G12" i="3"/>
  <c r="D9" i="3"/>
  <c r="D15" i="3" s="1"/>
  <c r="E15" i="3" s="1"/>
  <c r="K12" i="3"/>
  <c r="M12" i="3"/>
  <c r="O12" i="3"/>
  <c r="Q12" i="3"/>
  <c r="C13" i="3"/>
  <c r="C14" i="3"/>
  <c r="C16" i="3"/>
  <c r="C10" i="3"/>
  <c r="C18" i="3" s="1"/>
  <c r="D12" i="3"/>
  <c r="F12" i="3"/>
  <c r="H12" i="3"/>
  <c r="J12" i="3"/>
  <c r="L12" i="3"/>
  <c r="N12" i="3"/>
  <c r="D16" i="3" l="1"/>
  <c r="D14" i="3"/>
  <c r="D13" i="3"/>
  <c r="E9" i="3"/>
  <c r="D11" i="3"/>
  <c r="D10" i="3"/>
  <c r="D18" i="3" l="1"/>
  <c r="E11" i="3"/>
  <c r="E10" i="3"/>
  <c r="E16" i="3"/>
  <c r="E14" i="3"/>
  <c r="E18" i="3" s="1"/>
  <c r="E13" i="3"/>
  <c r="F9" i="3"/>
  <c r="F16" i="3" l="1"/>
  <c r="F14" i="3"/>
  <c r="F13" i="3"/>
  <c r="G9" i="3"/>
  <c r="F11" i="3"/>
  <c r="F10" i="3"/>
  <c r="F15" i="3"/>
  <c r="G15" i="3" s="1"/>
  <c r="F18" i="3" l="1"/>
  <c r="G11" i="3"/>
  <c r="G10" i="3"/>
  <c r="G16" i="3"/>
  <c r="G14" i="3"/>
  <c r="G18" i="3" s="1"/>
  <c r="G13" i="3"/>
  <c r="H9" i="3"/>
  <c r="H16" i="3" l="1"/>
  <c r="H14" i="3"/>
  <c r="H13" i="3"/>
  <c r="I9" i="3"/>
  <c r="H11" i="3"/>
  <c r="H10" i="3"/>
  <c r="H15" i="3"/>
  <c r="I15" i="3" s="1"/>
  <c r="H18" i="3" l="1"/>
  <c r="I11" i="3"/>
  <c r="I10" i="3"/>
  <c r="I16" i="3"/>
  <c r="I14" i="3"/>
  <c r="I13" i="3"/>
  <c r="J9" i="3"/>
  <c r="I18" i="3" l="1"/>
  <c r="J16" i="3"/>
  <c r="J14" i="3"/>
  <c r="J13" i="3"/>
  <c r="K9" i="3"/>
  <c r="J11" i="3"/>
  <c r="J10" i="3"/>
  <c r="J15" i="3"/>
  <c r="K15" i="3" s="1"/>
  <c r="J18" i="3" l="1"/>
  <c r="K11" i="3"/>
  <c r="K10" i="3"/>
  <c r="K16" i="3"/>
  <c r="K14" i="3"/>
  <c r="K13" i="3"/>
  <c r="L9" i="3"/>
  <c r="K18" i="3" l="1"/>
  <c r="L16" i="3"/>
  <c r="L14" i="3"/>
  <c r="L13" i="3"/>
  <c r="M9" i="3"/>
  <c r="L11" i="3"/>
  <c r="L10" i="3"/>
  <c r="L15" i="3"/>
  <c r="M15" i="3" s="1"/>
  <c r="L18" i="3" l="1"/>
  <c r="M11" i="3"/>
  <c r="M10" i="3"/>
  <c r="M16" i="3"/>
  <c r="M14" i="3"/>
  <c r="M13" i="3"/>
  <c r="N9" i="3"/>
  <c r="M18" i="3" l="1"/>
  <c r="N16" i="3"/>
  <c r="N14" i="3"/>
  <c r="N13" i="3"/>
  <c r="O9" i="3"/>
  <c r="N11" i="3"/>
  <c r="N10" i="3"/>
  <c r="N15" i="3"/>
  <c r="N18" i="3" l="1"/>
  <c r="O11" i="3"/>
  <c r="O10" i="3"/>
  <c r="O16" i="3"/>
  <c r="O15" i="3"/>
  <c r="O14" i="3"/>
  <c r="O13" i="3"/>
  <c r="P9" i="3"/>
  <c r="O18" i="3" l="1"/>
  <c r="P16" i="3"/>
  <c r="P15" i="3"/>
  <c r="P14" i="3"/>
  <c r="P13" i="3"/>
  <c r="Q9" i="3"/>
  <c r="R9" i="3" s="1"/>
  <c r="P11" i="3"/>
  <c r="P10" i="3"/>
  <c r="R16" i="3" l="1"/>
  <c r="R13" i="3"/>
  <c r="R10" i="3"/>
  <c r="S9" i="3"/>
  <c r="R15" i="3"/>
  <c r="R14" i="3"/>
  <c r="R18" i="3" s="1"/>
  <c r="R11" i="3"/>
  <c r="P18" i="3"/>
  <c r="Q11" i="3"/>
  <c r="Q10" i="3"/>
  <c r="Q16" i="3"/>
  <c r="Q15" i="3"/>
  <c r="Q14" i="3"/>
  <c r="Q13" i="3"/>
  <c r="S15" i="3" l="1"/>
  <c r="S14" i="3"/>
  <c r="S11" i="3"/>
  <c r="S16" i="3"/>
  <c r="S13" i="3"/>
  <c r="S10" i="3"/>
  <c r="S18" i="3" s="1"/>
  <c r="Q18" i="3"/>
  <c r="B6" i="1" l="1"/>
  <c r="C7" i="1" s="1"/>
  <c r="B7" i="1" s="1"/>
  <c r="B10" i="2" l="1"/>
  <c r="S10" i="2" s="1"/>
  <c r="C8" i="2"/>
  <c r="S7" i="2"/>
  <c r="R7" i="2"/>
  <c r="Q7" i="2"/>
  <c r="P7" i="2"/>
  <c r="O7" i="2"/>
  <c r="R5" i="2"/>
  <c r="B5" i="2"/>
  <c r="R4" i="2"/>
  <c r="C4" i="2"/>
  <c r="D10" i="2" l="1"/>
  <c r="F10" i="2"/>
  <c r="H10" i="2"/>
  <c r="J10" i="2"/>
  <c r="L10" i="2"/>
  <c r="N10" i="2"/>
  <c r="P10" i="2"/>
  <c r="R10" i="2"/>
  <c r="C11" i="2"/>
  <c r="C13" i="2"/>
  <c r="D8" i="2"/>
  <c r="C9" i="2"/>
  <c r="C10" i="2"/>
  <c r="E10" i="2"/>
  <c r="G10" i="2"/>
  <c r="I10" i="2"/>
  <c r="K10" i="2"/>
  <c r="M10" i="2"/>
  <c r="O10" i="2"/>
  <c r="Q10" i="2"/>
  <c r="C12" i="2"/>
  <c r="Q9" i="1"/>
  <c r="P9" i="1"/>
  <c r="O9" i="1"/>
  <c r="V9" i="1"/>
  <c r="U9" i="1"/>
  <c r="T9" i="1"/>
  <c r="S9" i="1"/>
  <c r="C14" i="2" l="1"/>
  <c r="D13" i="2"/>
  <c r="D11" i="2"/>
  <c r="D12" i="2"/>
  <c r="D9" i="2"/>
  <c r="D14" i="2" s="1"/>
  <c r="E8" i="2"/>
  <c r="C5" i="1"/>
  <c r="S8" i="1"/>
  <c r="S6" i="1"/>
  <c r="S5" i="1"/>
  <c r="S4" i="1"/>
  <c r="E6" i="1"/>
  <c r="C10" i="1"/>
  <c r="F15" i="1"/>
  <c r="R9" i="1"/>
  <c r="E12" i="2" l="1"/>
  <c r="E9" i="2"/>
  <c r="F8" i="2"/>
  <c r="E13" i="2"/>
  <c r="E11" i="2"/>
  <c r="V15" i="1"/>
  <c r="U15" i="1"/>
  <c r="T15" i="1"/>
  <c r="P15" i="1"/>
  <c r="Q15" i="1"/>
  <c r="O15" i="1"/>
  <c r="S15" i="1"/>
  <c r="R15" i="1"/>
  <c r="J15" i="1"/>
  <c r="G15" i="1"/>
  <c r="C15" i="1"/>
  <c r="K15" i="1"/>
  <c r="E15" i="1"/>
  <c r="I15" i="1"/>
  <c r="M15" i="1"/>
  <c r="D10" i="1"/>
  <c r="C11" i="1"/>
  <c r="D15" i="1"/>
  <c r="H15" i="1"/>
  <c r="L15" i="1"/>
  <c r="N15" i="1"/>
  <c r="C12" i="1" l="1"/>
  <c r="C13" i="1" s="1"/>
  <c r="C14" i="1" s="1"/>
  <c r="E14" i="2"/>
  <c r="F13" i="2"/>
  <c r="F11" i="2"/>
  <c r="F12" i="2"/>
  <c r="F9" i="2"/>
  <c r="G8" i="2"/>
  <c r="D11" i="1"/>
  <c r="E10" i="1"/>
  <c r="C17" i="1" l="1"/>
  <c r="C16" i="1"/>
  <c r="C21" i="1" s="1"/>
  <c r="C18" i="1"/>
  <c r="C19" i="1"/>
  <c r="D12" i="1"/>
  <c r="D13" i="1" s="1"/>
  <c r="F14" i="2"/>
  <c r="G12" i="2"/>
  <c r="G9" i="2"/>
  <c r="H8" i="2"/>
  <c r="G13" i="2"/>
  <c r="G11" i="2"/>
  <c r="E11" i="1"/>
  <c r="F10" i="1"/>
  <c r="D17" i="1" l="1"/>
  <c r="D14" i="1"/>
  <c r="C20" i="1"/>
  <c r="D16" i="1"/>
  <c r="D21" i="1" s="1"/>
  <c r="D19" i="1"/>
  <c r="D18" i="1"/>
  <c r="E12" i="1"/>
  <c r="E13" i="1" s="1"/>
  <c r="G14" i="2"/>
  <c r="H13" i="2"/>
  <c r="H11" i="2"/>
  <c r="H12" i="2"/>
  <c r="H9" i="2"/>
  <c r="H14" i="2" s="1"/>
  <c r="I8" i="2"/>
  <c r="F11" i="1"/>
  <c r="G10" i="1"/>
  <c r="E17" i="1" l="1"/>
  <c r="E14" i="1"/>
  <c r="E18" i="1"/>
  <c r="D20" i="1"/>
  <c r="E16" i="1"/>
  <c r="E19" i="1"/>
  <c r="F12" i="1"/>
  <c r="F13" i="1" s="1"/>
  <c r="I12" i="2"/>
  <c r="I9" i="2"/>
  <c r="J8" i="2"/>
  <c r="I13" i="2"/>
  <c r="I11" i="2"/>
  <c r="G11" i="1"/>
  <c r="H10" i="1"/>
  <c r="F17" i="1" l="1"/>
  <c r="F14" i="1"/>
  <c r="E21" i="1"/>
  <c r="F18" i="1"/>
  <c r="E20" i="1"/>
  <c r="F16" i="1"/>
  <c r="F21" i="1" s="1"/>
  <c r="F19" i="1"/>
  <c r="I14" i="2"/>
  <c r="G12" i="1"/>
  <c r="G13" i="1" s="1"/>
  <c r="J13" i="2"/>
  <c r="J11" i="2"/>
  <c r="J12" i="2"/>
  <c r="J9" i="2"/>
  <c r="J14" i="2" s="1"/>
  <c r="K8" i="2"/>
  <c r="I10" i="1"/>
  <c r="H11" i="1"/>
  <c r="G17" i="1" l="1"/>
  <c r="G14" i="1"/>
  <c r="F20" i="1"/>
  <c r="G16" i="1"/>
  <c r="G21" i="1" s="1"/>
  <c r="G19" i="1"/>
  <c r="G18" i="1"/>
  <c r="H12" i="1"/>
  <c r="H13" i="1" s="1"/>
  <c r="K12" i="2"/>
  <c r="K9" i="2"/>
  <c r="L8" i="2"/>
  <c r="K13" i="2"/>
  <c r="K11" i="2"/>
  <c r="I11" i="1"/>
  <c r="J10" i="1"/>
  <c r="H17" i="1" l="1"/>
  <c r="H14" i="1"/>
  <c r="H18" i="1"/>
  <c r="G20" i="1"/>
  <c r="H16" i="1"/>
  <c r="H19" i="1"/>
  <c r="I12" i="1"/>
  <c r="I13" i="1" s="1"/>
  <c r="K14" i="2"/>
  <c r="L13" i="2"/>
  <c r="L11" i="2"/>
  <c r="L12" i="2"/>
  <c r="L9" i="2"/>
  <c r="M8" i="2"/>
  <c r="J11" i="1"/>
  <c r="K10" i="1"/>
  <c r="I17" i="1" l="1"/>
  <c r="I14" i="1"/>
  <c r="H21" i="1"/>
  <c r="H20" i="1"/>
  <c r="I16" i="1"/>
  <c r="I19" i="1"/>
  <c r="I18" i="1"/>
  <c r="J12" i="1"/>
  <c r="J13" i="1" s="1"/>
  <c r="L14" i="2"/>
  <c r="M12" i="2"/>
  <c r="M9" i="2"/>
  <c r="N8" i="2"/>
  <c r="M13" i="2"/>
  <c r="M11" i="2"/>
  <c r="K11" i="1"/>
  <c r="L10" i="1"/>
  <c r="J17" i="1" l="1"/>
  <c r="J14" i="1"/>
  <c r="I21" i="1"/>
  <c r="I20" i="1"/>
  <c r="J16" i="1"/>
  <c r="J19" i="1"/>
  <c r="J18" i="1"/>
  <c r="K12" i="1"/>
  <c r="K13" i="1" s="1"/>
  <c r="M14" i="2"/>
  <c r="N13" i="2"/>
  <c r="N11" i="2"/>
  <c r="N12" i="2"/>
  <c r="N9" i="2"/>
  <c r="O8" i="2"/>
  <c r="L11" i="1"/>
  <c r="M10" i="1"/>
  <c r="K17" i="1" l="1"/>
  <c r="K14" i="1"/>
  <c r="J21" i="1"/>
  <c r="J20" i="1"/>
  <c r="K16" i="1"/>
  <c r="K19" i="1"/>
  <c r="K18" i="1"/>
  <c r="L12" i="1"/>
  <c r="L13" i="1" s="1"/>
  <c r="N14" i="2"/>
  <c r="O12" i="2"/>
  <c r="O9" i="2"/>
  <c r="P8" i="2"/>
  <c r="O13" i="2"/>
  <c r="O11" i="2"/>
  <c r="N10" i="1"/>
  <c r="M11" i="1"/>
  <c r="L17" i="1" l="1"/>
  <c r="L14" i="1"/>
  <c r="K21" i="1"/>
  <c r="K20" i="1"/>
  <c r="L16" i="1"/>
  <c r="L19" i="1"/>
  <c r="L18" i="1"/>
  <c r="M12" i="1"/>
  <c r="M13" i="1" s="1"/>
  <c r="O14" i="2"/>
  <c r="P13" i="2"/>
  <c r="P11" i="2"/>
  <c r="P12" i="2"/>
  <c r="P9" i="2"/>
  <c r="Q8" i="2"/>
  <c r="O10" i="1"/>
  <c r="N11" i="1"/>
  <c r="M17" i="1" l="1"/>
  <c r="M14" i="1"/>
  <c r="L21" i="1"/>
  <c r="L20" i="1"/>
  <c r="M16" i="1"/>
  <c r="M19" i="1"/>
  <c r="M18" i="1"/>
  <c r="N12" i="1"/>
  <c r="N13" i="1" s="1"/>
  <c r="P14" i="2"/>
  <c r="Q12" i="2"/>
  <c r="Q9" i="2"/>
  <c r="R8" i="2"/>
  <c r="Q13" i="2"/>
  <c r="Q11" i="2"/>
  <c r="P10" i="1"/>
  <c r="O11" i="1"/>
  <c r="N17" i="1" l="1"/>
  <c r="N14" i="1"/>
  <c r="M21" i="1"/>
  <c r="M20" i="1"/>
  <c r="N16" i="1"/>
  <c r="N19" i="1"/>
  <c r="N18" i="1"/>
  <c r="O12" i="1"/>
  <c r="O13" i="1" s="1"/>
  <c r="Q14" i="2"/>
  <c r="R13" i="2"/>
  <c r="R11" i="2"/>
  <c r="R12" i="2"/>
  <c r="R9" i="2"/>
  <c r="S8" i="2"/>
  <c r="Q10" i="1"/>
  <c r="P11" i="1"/>
  <c r="O17" i="1" l="1"/>
  <c r="O14" i="1"/>
  <c r="N21" i="1"/>
  <c r="N20" i="1"/>
  <c r="O16" i="1"/>
  <c r="O19" i="1"/>
  <c r="O18" i="1"/>
  <c r="P12" i="1"/>
  <c r="P13" i="1" s="1"/>
  <c r="R10" i="1"/>
  <c r="R14" i="2"/>
  <c r="Q11" i="1"/>
  <c r="S12" i="2"/>
  <c r="S9" i="2"/>
  <c r="S13" i="2"/>
  <c r="S11" i="2"/>
  <c r="P17" i="1" l="1"/>
  <c r="P14" i="1"/>
  <c r="O21" i="1"/>
  <c r="O20" i="1"/>
  <c r="P16" i="1"/>
  <c r="P19" i="1"/>
  <c r="P18" i="1"/>
  <c r="Q12" i="1"/>
  <c r="Q13" i="1" s="1"/>
  <c r="S10" i="1"/>
  <c r="S14" i="2"/>
  <c r="R11" i="1"/>
  <c r="Q17" i="1" l="1"/>
  <c r="Q14" i="1"/>
  <c r="P21" i="1"/>
  <c r="P20" i="1"/>
  <c r="Q16" i="1"/>
  <c r="Q19" i="1"/>
  <c r="Q18" i="1"/>
  <c r="R12" i="1"/>
  <c r="R13" i="1" s="1"/>
  <c r="T10" i="1"/>
  <c r="S11" i="1"/>
  <c r="R17" i="1" l="1"/>
  <c r="R14" i="1"/>
  <c r="Q21" i="1"/>
  <c r="Q20" i="1"/>
  <c r="R16" i="1"/>
  <c r="R19" i="1"/>
  <c r="R18" i="1"/>
  <c r="S12" i="1"/>
  <c r="S13" i="1" s="1"/>
  <c r="U10" i="1"/>
  <c r="T11" i="1"/>
  <c r="T12" i="1" s="1"/>
  <c r="T13" i="1" s="1"/>
  <c r="T17" i="1" l="1"/>
  <c r="T14" i="1"/>
  <c r="S17" i="1"/>
  <c r="S14" i="1"/>
  <c r="R21" i="1"/>
  <c r="R20" i="1"/>
  <c r="T16" i="1"/>
  <c r="T21" i="1" s="1"/>
  <c r="T19" i="1"/>
  <c r="S16" i="1"/>
  <c r="S21" i="1" s="1"/>
  <c r="S19" i="1"/>
  <c r="S18" i="1"/>
  <c r="T18" i="1" s="1"/>
  <c r="V10" i="1"/>
  <c r="U11" i="1"/>
  <c r="S20" i="1" l="1"/>
  <c r="T20" i="1"/>
  <c r="V11" i="1"/>
  <c r="U12" i="1"/>
  <c r="U13" i="1" s="1"/>
  <c r="U17" i="1" l="1"/>
  <c r="U14" i="1"/>
  <c r="U18" i="1"/>
  <c r="U16" i="1"/>
  <c r="U21" i="1" s="1"/>
  <c r="U19" i="1"/>
  <c r="V12" i="1"/>
  <c r="V13" i="1" s="1"/>
  <c r="V17" i="1" l="1"/>
  <c r="V14" i="1"/>
  <c r="V18" i="1"/>
  <c r="U20" i="1"/>
  <c r="V16" i="1"/>
  <c r="V21" i="1" s="1"/>
  <c r="V19" i="1"/>
  <c r="V20" i="1" l="1"/>
</calcChain>
</file>

<file path=xl/comments1.xml><?xml version="1.0" encoding="utf-8"?>
<comments xmlns="http://schemas.openxmlformats.org/spreadsheetml/2006/main">
  <authors>
    <author>الكاتب</author>
  </authors>
  <commentList>
    <comment ref="B5" authorId="0">
      <text>
        <r>
          <rPr>
            <b/>
            <sz val="24"/>
            <color indexed="81"/>
            <rFont val="Tahoma"/>
            <family val="2"/>
          </rPr>
          <t>الكاتب:</t>
        </r>
        <r>
          <rPr>
            <sz val="24"/>
            <color indexed="81"/>
            <rFont val="Tahoma"/>
            <family val="2"/>
          </rPr>
          <t xml:space="preserve">
ضع المرتبة في المربع
من 37  حتى  50</t>
        </r>
      </text>
    </comment>
  </commentList>
</comments>
</file>

<file path=xl/comments2.xml><?xml version="1.0" encoding="utf-8"?>
<comments xmlns="http://schemas.openxmlformats.org/spreadsheetml/2006/main">
  <authors>
    <author>الكاتب</author>
  </authors>
  <commentList>
    <comment ref="B4" authorId="0">
      <text>
        <r>
          <rPr>
            <b/>
            <sz val="24"/>
            <color indexed="81"/>
            <rFont val="Tahoma"/>
            <family val="2"/>
          </rPr>
          <t>الكاتب:</t>
        </r>
        <r>
          <rPr>
            <sz val="24"/>
            <color indexed="81"/>
            <rFont val="Tahoma"/>
            <family val="2"/>
          </rPr>
          <t xml:space="preserve">
ضع المرتبة في المربع
من 37  حتى  50</t>
        </r>
      </text>
    </comment>
  </commentList>
</comments>
</file>

<file path=xl/sharedStrings.xml><?xml version="1.0" encoding="utf-8"?>
<sst xmlns="http://schemas.openxmlformats.org/spreadsheetml/2006/main" count="58" uniqueCount="25">
  <si>
    <t xml:space="preserve">مؤسسة البريد السعودي </t>
  </si>
  <si>
    <t>تصميم عيسى ابراهيم الملاح</t>
  </si>
  <si>
    <t>بريد محافظة الاحساء</t>
  </si>
  <si>
    <t>البريد الرسمي</t>
  </si>
  <si>
    <t>المرتبة</t>
  </si>
  <si>
    <t>العلاوة السنوية</t>
  </si>
  <si>
    <t>الدرجة</t>
  </si>
  <si>
    <t>اصل الراتب</t>
  </si>
  <si>
    <t>بدل معيشة</t>
  </si>
  <si>
    <t>النقل</t>
  </si>
  <si>
    <t>التقاعد</t>
  </si>
  <si>
    <t>علاوة</t>
  </si>
  <si>
    <t>مكافأة رمضان</t>
  </si>
  <si>
    <t>الراتب مع السكن</t>
  </si>
  <si>
    <t>الراتب كامل</t>
  </si>
  <si>
    <t>بدل سكن</t>
  </si>
  <si>
    <t>eimalah@sp.com.sa</t>
  </si>
  <si>
    <t>بيان رواتب موظفي مؤسسة البريد السعودي مع فروقات التسكين1432هـ</t>
  </si>
  <si>
    <t>الاساسي القديم</t>
  </si>
  <si>
    <t>الاساسي الجديد</t>
  </si>
  <si>
    <t>الانتقال للرواتب قبل المكرمة</t>
  </si>
  <si>
    <t>الانتقال للرواتب مع المكرمة</t>
  </si>
  <si>
    <t>بدلات اخرى</t>
  </si>
  <si>
    <t>الانقال الى السلم الجديد مع المكرمة</t>
  </si>
  <si>
    <t>العلاوة الجديدة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</si>
</sst>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dd"/>
    <numFmt numFmtId="165" formatCode="[$-1170401]B2dd\ mmmm\,\ yyyy;@"/>
    <numFmt numFmtId="166" formatCode="[$-2010000]yyyy/mm/dd;@"/>
    <numFmt numFmtId="167" formatCode="[$-F400]h:mm:ss\ AM/PM"/>
    <numFmt numFmtId="168" formatCode="0.0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36"/>
      <color theme="3" tint="0.79998168889431442"/>
      <name val="Traditional Arabic"/>
      <family val="1"/>
    </font>
    <font>
      <b/>
      <sz val="24"/>
      <color indexed="81"/>
      <name val="Tahoma"/>
      <family val="2"/>
    </font>
    <font>
      <sz val="24"/>
      <color indexed="81"/>
      <name val="Tahoma"/>
      <family val="2"/>
    </font>
    <font>
      <sz val="20"/>
      <color theme="1"/>
      <name val="Traditional Arabic"/>
      <family val="1"/>
    </font>
    <font>
      <sz val="36"/>
      <color theme="0"/>
      <name val="Traditional Arabic"/>
      <family val="1"/>
    </font>
    <font>
      <sz val="36"/>
      <color theme="1"/>
      <name val="Traditional Arabic"/>
      <family val="1"/>
    </font>
    <font>
      <u/>
      <sz val="11"/>
      <color theme="10"/>
      <name val="Arial"/>
      <family val="2"/>
    </font>
    <font>
      <u/>
      <sz val="28"/>
      <color theme="10"/>
      <name val="Arial"/>
      <family val="2"/>
    </font>
    <font>
      <sz val="28"/>
      <color theme="0"/>
      <name val="Traditional Arabic"/>
      <family val="1"/>
    </font>
    <font>
      <sz val="20"/>
      <color theme="3" tint="0.79998168889431442"/>
      <name val="Calibri"/>
      <family val="2"/>
      <scheme val="minor"/>
    </font>
    <font>
      <sz val="24"/>
      <color theme="3" tint="0.79998168889431442"/>
      <name val="Calibri"/>
      <family val="2"/>
      <scheme val="minor"/>
    </font>
    <font>
      <sz val="11"/>
      <color theme="3" tint="0.79998168889431442"/>
      <name val="Calibri"/>
      <family val="2"/>
      <scheme val="minor"/>
    </font>
    <font>
      <sz val="28"/>
      <color theme="3" tint="0.79998168889431442"/>
      <name val="Traditional Arabic"/>
      <family val="1"/>
    </font>
    <font>
      <sz val="28"/>
      <color theme="3" tint="0.79998168889431442"/>
      <name val="Calibri"/>
      <family val="2"/>
      <scheme val="minor"/>
    </font>
    <font>
      <sz val="26"/>
      <color theme="3" tint="0.79998168889431442"/>
      <name val="Traditional Arabic"/>
      <family val="1"/>
    </font>
    <font>
      <sz val="26"/>
      <color theme="3" tint="0.79998168889431442"/>
      <name val="Calibri"/>
      <family val="2"/>
      <scheme val="minor"/>
    </font>
    <font>
      <sz val="44"/>
      <color theme="3" tint="0.79998168889431442"/>
      <name val="Traditional Arabic"/>
      <family val="1"/>
    </font>
    <font>
      <b/>
      <sz val="26"/>
      <color theme="1"/>
      <name val="Traditional Arabic"/>
      <family val="1"/>
    </font>
    <font>
      <b/>
      <sz val="2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0"/>
      <name val="Calibri"/>
      <family val="2"/>
      <scheme val="minor"/>
    </font>
    <font>
      <sz val="2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48"/>
      <color rgb="FF00642D"/>
      <name val="Traditional Arabic"/>
      <family val="1"/>
    </font>
    <font>
      <b/>
      <sz val="33"/>
      <color theme="3" tint="0.79998168889431442"/>
      <name val="Traditional Arabic"/>
      <family val="1"/>
    </font>
    <font>
      <b/>
      <sz val="24"/>
      <color rgb="FF005426"/>
      <name val="Traditional Arabic"/>
      <family val="1"/>
    </font>
    <font>
      <b/>
      <sz val="28"/>
      <color rgb="FF005426"/>
      <name val="Traditional Arabic"/>
      <family val="1"/>
    </font>
    <font>
      <sz val="28"/>
      <color theme="1"/>
      <name val="Traditional Arabic"/>
      <family val="1"/>
    </font>
    <font>
      <b/>
      <sz val="26"/>
      <color rgb="FFFF0000"/>
      <name val="Arial"/>
      <family val="2"/>
    </font>
    <font>
      <sz val="72"/>
      <color theme="3" tint="0.79998168889431442"/>
      <name val="Traditional Arabic"/>
      <family val="1"/>
    </font>
    <font>
      <b/>
      <sz val="24"/>
      <color theme="1"/>
      <name val="Traditional Arabic"/>
      <family val="1"/>
    </font>
    <font>
      <b/>
      <sz val="28"/>
      <color theme="1"/>
      <name val="Traditional Arabic"/>
      <family val="1"/>
    </font>
    <font>
      <b/>
      <sz val="22"/>
      <color theme="1"/>
      <name val="Arial"/>
      <family val="2"/>
    </font>
    <font>
      <sz val="16"/>
      <color rgb="FFFF0000"/>
      <name val="Arial"/>
      <family val="2"/>
    </font>
    <font>
      <b/>
      <sz val="33"/>
      <name val="Traditional Arabic"/>
      <family val="1"/>
    </font>
  </fonts>
  <fills count="1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2D050"/>
        <bgColor auto="1"/>
      </pattern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patternFill patternType="solid">
        <fgColor theme="0"/>
        <bgColor indexed="64"/>
      </patternFill>
    </fill>
    <fill>
      <gradientFill degree="90">
        <stop position="0">
          <color rgb="FF008A3E"/>
        </stop>
        <stop position="0.5">
          <color theme="0"/>
        </stop>
        <stop position="1">
          <color rgb="FF008A3E"/>
        </stop>
      </gradientFill>
    </fill>
    <fill>
      <gradientFill type="path" left="0.5" right="0.5" top="0.5" bottom="0.5">
        <stop position="0">
          <color theme="0"/>
        </stop>
        <stop position="1">
          <color rgb="FF008A3E"/>
        </stop>
      </gradientFill>
    </fill>
    <fill>
      <patternFill patternType="solid">
        <fgColor theme="1"/>
        <bgColor auto="1"/>
      </patternFill>
    </fill>
    <fill>
      <gradientFill degree="90">
        <stop position="0">
          <color theme="0"/>
        </stop>
        <stop position="0.5">
          <color rgb="FF92D050"/>
        </stop>
        <stop position="1">
          <color theme="0"/>
        </stop>
      </gradientFill>
    </fill>
    <fill>
      <gradientFill type="path" left="0.5" right="0.5" top="0.5" bottom="0.5">
        <stop position="0">
          <color theme="0"/>
        </stop>
        <stop position="1">
          <color rgb="FF92D050"/>
        </stop>
      </gradientFill>
    </fill>
    <fill>
      <gradientFill type="path" left="0.5" right="0.5" top="0.5" bottom="0.5">
        <stop position="0">
          <color theme="4" tint="0.80001220740379042"/>
        </stop>
        <stop position="1">
          <color theme="4" tint="-0.25098422193060094"/>
        </stop>
      </gradientFill>
    </fill>
  </fills>
  <borders count="62">
    <border>
      <left/>
      <right/>
      <top/>
      <bottom/>
      <diagonal/>
    </border>
    <border>
      <left style="double">
        <color rgb="FF92D050"/>
      </left>
      <right style="hair">
        <color rgb="FF92D050"/>
      </right>
      <top style="double">
        <color rgb="FF92D050"/>
      </top>
      <bottom style="hair">
        <color rgb="FF92D050"/>
      </bottom>
      <diagonal/>
    </border>
    <border>
      <left style="hair">
        <color rgb="FF92D050"/>
      </left>
      <right style="double">
        <color rgb="FF92D050"/>
      </right>
      <top style="double">
        <color rgb="FF92D050"/>
      </top>
      <bottom style="hair">
        <color rgb="FF92D050"/>
      </bottom>
      <diagonal/>
    </border>
    <border>
      <left style="double">
        <color rgb="FF92D050"/>
      </left>
      <right style="hair">
        <color rgb="FF92D050"/>
      </right>
      <top style="hair">
        <color rgb="FF92D050"/>
      </top>
      <bottom style="hair">
        <color rgb="FF92D050"/>
      </bottom>
      <diagonal/>
    </border>
    <border>
      <left style="hair">
        <color rgb="FF92D050"/>
      </left>
      <right style="hair">
        <color rgb="FF92D050"/>
      </right>
      <top style="hair">
        <color rgb="FF92D050"/>
      </top>
      <bottom style="hair">
        <color rgb="FF92D050"/>
      </bottom>
      <diagonal/>
    </border>
    <border>
      <left style="hair">
        <color rgb="FF92D050"/>
      </left>
      <right style="double">
        <color rgb="FF92D050"/>
      </right>
      <top style="hair">
        <color rgb="FF92D050"/>
      </top>
      <bottom style="hair">
        <color rgb="FF92D050"/>
      </bottom>
      <diagonal/>
    </border>
    <border>
      <left style="hair">
        <color rgb="FF92D050"/>
      </left>
      <right style="hair">
        <color rgb="FF92D050"/>
      </right>
      <top style="double">
        <color rgb="FF92D050"/>
      </top>
      <bottom style="double">
        <color rgb="FF92D050"/>
      </bottom>
      <diagonal/>
    </border>
    <border>
      <left/>
      <right style="hair">
        <color rgb="FF92D050"/>
      </right>
      <top style="double">
        <color rgb="FF92D050"/>
      </top>
      <bottom style="double">
        <color rgb="FF92D050"/>
      </bottom>
      <diagonal/>
    </border>
    <border>
      <left/>
      <right/>
      <top/>
      <bottom style="double">
        <color rgb="FF92D050"/>
      </bottom>
      <diagonal/>
    </border>
    <border>
      <left/>
      <right/>
      <top style="hair">
        <color rgb="FF92D050"/>
      </top>
      <bottom style="hair">
        <color rgb="FF92D050"/>
      </bottom>
      <diagonal/>
    </border>
    <border>
      <left style="double">
        <color rgb="FF92D050"/>
      </left>
      <right/>
      <top style="hair">
        <color rgb="FF92D050"/>
      </top>
      <bottom style="hair">
        <color rgb="FF92D050"/>
      </bottom>
      <diagonal/>
    </border>
    <border>
      <left style="double">
        <color rgb="FF92D050"/>
      </left>
      <right/>
      <top style="hair">
        <color rgb="FF92D050"/>
      </top>
      <bottom style="double">
        <color rgb="FF92D050"/>
      </bottom>
      <diagonal/>
    </border>
    <border>
      <left style="hair">
        <color rgb="FF92D050"/>
      </left>
      <right style="double">
        <color rgb="FF92D050"/>
      </right>
      <top style="double">
        <color rgb="FF92D050"/>
      </top>
      <bottom style="double">
        <color rgb="FF92D050"/>
      </bottom>
      <diagonal/>
    </border>
    <border>
      <left style="double">
        <color rgb="FF92D050"/>
      </left>
      <right/>
      <top style="hair">
        <color rgb="FF92D050"/>
      </top>
      <bottom/>
      <diagonal/>
    </border>
    <border>
      <left style="hair">
        <color rgb="FF92D050"/>
      </left>
      <right style="hair">
        <color rgb="FF92D050"/>
      </right>
      <top style="double">
        <color rgb="FF92D050"/>
      </top>
      <bottom style="hair">
        <color rgb="FF92D050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rgb="FF92D050"/>
      </left>
      <right style="medium">
        <color rgb="FF92D050"/>
      </right>
      <top style="thin">
        <color auto="1"/>
      </top>
      <bottom style="thin">
        <color rgb="FF92D050"/>
      </bottom>
      <diagonal/>
    </border>
    <border>
      <left style="medium">
        <color rgb="FF92D050"/>
      </left>
      <right style="hair">
        <color auto="1"/>
      </right>
      <top style="medium">
        <color rgb="FF92D050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rgb="FF92D050"/>
      </top>
      <bottom style="hair">
        <color auto="1"/>
      </bottom>
      <diagonal/>
    </border>
    <border>
      <left style="thin">
        <color rgb="FF92D050"/>
      </left>
      <right style="medium">
        <color rgb="FF92D050"/>
      </right>
      <top style="thin">
        <color rgb="FF92D050"/>
      </top>
      <bottom style="thin">
        <color rgb="FF92D050"/>
      </bottom>
      <diagonal/>
    </border>
    <border>
      <left style="medium">
        <color rgb="FF92D050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rgb="FF92D050"/>
      </top>
      <bottom style="double">
        <color rgb="FF92D050"/>
      </bottom>
      <diagonal/>
    </border>
    <border>
      <left style="double">
        <color rgb="FF92D050"/>
      </left>
      <right/>
      <top style="double">
        <color rgb="FF92D050"/>
      </top>
      <bottom style="double">
        <color rgb="FF92D050"/>
      </bottom>
      <diagonal/>
    </border>
    <border>
      <left/>
      <right/>
      <top style="double">
        <color rgb="FF92D050"/>
      </top>
      <bottom style="double">
        <color rgb="FF92D050"/>
      </bottom>
      <diagonal/>
    </border>
    <border>
      <left/>
      <right style="double">
        <color rgb="FF92D050"/>
      </right>
      <top style="double">
        <color rgb="FF92D050"/>
      </top>
      <bottom style="double">
        <color rgb="FF92D050"/>
      </bottom>
      <diagonal/>
    </border>
    <border>
      <left style="double">
        <color rgb="FF92D050"/>
      </left>
      <right style="hair">
        <color rgb="FF92D050"/>
      </right>
      <top style="hair">
        <color rgb="FF92D050"/>
      </top>
      <bottom style="double">
        <color rgb="FF92D050"/>
      </bottom>
      <diagonal/>
    </border>
    <border>
      <left/>
      <right/>
      <top/>
      <bottom style="hair">
        <color rgb="FF92D050"/>
      </bottom>
      <diagonal/>
    </border>
    <border>
      <left style="double">
        <color rgb="FF92D050"/>
      </left>
      <right/>
      <top/>
      <bottom style="hair">
        <color rgb="FF92D050"/>
      </bottom>
      <diagonal/>
    </border>
    <border>
      <left style="hair">
        <color rgb="FF92D050"/>
      </left>
      <right/>
      <top style="hair">
        <color rgb="FF92D050"/>
      </top>
      <bottom style="hair">
        <color rgb="FF92D050"/>
      </bottom>
      <diagonal/>
    </border>
    <border>
      <left/>
      <right/>
      <top style="hair">
        <color rgb="FF92D050"/>
      </top>
      <bottom/>
      <diagonal/>
    </border>
    <border>
      <left style="hair">
        <color rgb="FF92D050"/>
      </left>
      <right/>
      <top style="double">
        <color rgb="FF92D050"/>
      </top>
      <bottom style="hair">
        <color rgb="FF92D050"/>
      </bottom>
      <diagonal/>
    </border>
    <border>
      <left style="hair">
        <color rgb="FF92D050"/>
      </left>
      <right style="hair">
        <color rgb="FF92D050"/>
      </right>
      <top style="hair">
        <color rgb="FF92D050"/>
      </top>
      <bottom style="double">
        <color rgb="FF92D050"/>
      </bottom>
      <diagonal/>
    </border>
    <border>
      <left style="hair">
        <color rgb="FF92D050"/>
      </left>
      <right style="double">
        <color rgb="FF92D050"/>
      </right>
      <top style="hair">
        <color rgb="FF92D050"/>
      </top>
      <bottom style="double">
        <color rgb="FF92D050"/>
      </bottom>
      <diagonal/>
    </border>
    <border>
      <left style="double">
        <color rgb="FF92D050"/>
      </left>
      <right style="hair">
        <color auto="1"/>
      </right>
      <top style="double">
        <color rgb="FF92D050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rgb="FF92D050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rgb="FF92D050"/>
      </top>
      <bottom/>
      <diagonal/>
    </border>
    <border>
      <left style="hair">
        <color auto="1"/>
      </left>
      <right style="double">
        <color rgb="FF92D050"/>
      </right>
      <top style="double">
        <color rgb="FF92D050"/>
      </top>
      <bottom/>
      <diagonal/>
    </border>
    <border>
      <left style="double">
        <color rgb="FF92D050"/>
      </left>
      <right style="thin">
        <color rgb="FF92D050"/>
      </right>
      <top style="thin">
        <color auto="1"/>
      </top>
      <bottom style="thin">
        <color rgb="FF92D050"/>
      </bottom>
      <diagonal/>
    </border>
    <border>
      <left style="hair">
        <color auto="1"/>
      </left>
      <right style="double">
        <color rgb="FF92D050"/>
      </right>
      <top style="medium">
        <color rgb="FF92D050"/>
      </top>
      <bottom style="hair">
        <color auto="1"/>
      </bottom>
      <diagonal/>
    </border>
    <border>
      <left style="double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hair">
        <color auto="1"/>
      </left>
      <right style="double">
        <color rgb="FF92D050"/>
      </right>
      <top style="hair">
        <color auto="1"/>
      </top>
      <bottom style="hair">
        <color auto="1"/>
      </bottom>
      <diagonal/>
    </border>
    <border>
      <left style="double">
        <color rgb="FF92D050"/>
      </left>
      <right style="thin">
        <color rgb="FF92D050"/>
      </right>
      <top style="thin">
        <color rgb="FF92D050"/>
      </top>
      <bottom style="double">
        <color rgb="FF92D050"/>
      </bottom>
      <diagonal/>
    </border>
    <border>
      <left style="thin">
        <color rgb="FF92D050"/>
      </left>
      <right style="medium">
        <color rgb="FF92D050"/>
      </right>
      <top style="thin">
        <color rgb="FF92D050"/>
      </top>
      <bottom style="double">
        <color rgb="FF92D050"/>
      </bottom>
      <diagonal/>
    </border>
    <border>
      <left style="medium">
        <color rgb="FF92D050"/>
      </left>
      <right style="hair">
        <color auto="1"/>
      </right>
      <top style="hair">
        <color auto="1"/>
      </top>
      <bottom style="double">
        <color rgb="FF92D05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rgb="FF92D050"/>
      </bottom>
      <diagonal/>
    </border>
    <border>
      <left style="hair">
        <color auto="1"/>
      </left>
      <right style="double">
        <color rgb="FF92D050"/>
      </right>
      <top style="hair">
        <color auto="1"/>
      </top>
      <bottom style="double">
        <color rgb="FF92D050"/>
      </bottom>
      <diagonal/>
    </border>
    <border>
      <left style="double">
        <color rgb="FF92D050"/>
      </left>
      <right/>
      <top/>
      <bottom/>
      <diagonal/>
    </border>
    <border>
      <left/>
      <right style="double">
        <color rgb="FF92D050"/>
      </right>
      <top style="hair">
        <color rgb="FF92D050"/>
      </top>
      <bottom style="hair">
        <color rgb="FF92D050"/>
      </bottom>
      <diagonal/>
    </border>
    <border>
      <left/>
      <right style="hair">
        <color rgb="FF92D050"/>
      </right>
      <top/>
      <bottom style="hair">
        <color rgb="FF92D050"/>
      </bottom>
      <diagonal/>
    </border>
    <border>
      <left style="hair">
        <color rgb="FF92D050"/>
      </left>
      <right style="hair">
        <color rgb="FF92D050"/>
      </right>
      <top/>
      <bottom style="hair">
        <color rgb="FF92D050"/>
      </bottom>
      <diagonal/>
    </border>
    <border>
      <left style="hair">
        <color rgb="FF92D050"/>
      </left>
      <right style="double">
        <color rgb="FF92D050"/>
      </right>
      <top/>
      <bottom style="hair">
        <color rgb="FF92D050"/>
      </bottom>
      <diagonal/>
    </border>
    <border>
      <left/>
      <right style="hair">
        <color rgb="FF92D050"/>
      </right>
      <top style="hair">
        <color rgb="FF92D050"/>
      </top>
      <bottom style="hair">
        <color rgb="FF92D050"/>
      </bottom>
      <diagonal/>
    </border>
    <border>
      <left/>
      <right style="double">
        <color rgb="FF92D050"/>
      </right>
      <top style="hair">
        <color rgb="FF92D050"/>
      </top>
      <bottom/>
      <diagonal/>
    </border>
    <border>
      <left/>
      <right style="hair">
        <color rgb="FF92D050"/>
      </right>
      <top style="hair">
        <color rgb="FF92D050"/>
      </top>
      <bottom/>
      <diagonal/>
    </border>
    <border>
      <left style="hair">
        <color rgb="FF92D050"/>
      </left>
      <right style="hair">
        <color rgb="FF92D050"/>
      </right>
      <top style="hair">
        <color rgb="FF92D050"/>
      </top>
      <bottom/>
      <diagonal/>
    </border>
    <border>
      <left style="hair">
        <color rgb="FF92D050"/>
      </left>
      <right style="double">
        <color rgb="FF92D050"/>
      </right>
      <top style="hair">
        <color rgb="FF92D050"/>
      </top>
      <bottom/>
      <diagonal/>
    </border>
    <border>
      <left/>
      <right style="hair">
        <color rgb="FF92D050"/>
      </right>
      <top style="double">
        <color rgb="FF92D050"/>
      </top>
      <bottom style="hair">
        <color rgb="FF92D050"/>
      </bottom>
      <diagonal/>
    </border>
    <border>
      <left/>
      <right style="double">
        <color rgb="FF92D050"/>
      </right>
      <top style="hair">
        <color rgb="FF92D050"/>
      </top>
      <bottom style="double">
        <color rgb="FF92D050"/>
      </bottom>
      <diagonal/>
    </border>
    <border>
      <left/>
      <right style="hair">
        <color rgb="FF92D050"/>
      </right>
      <top style="hair">
        <color rgb="FF92D050"/>
      </top>
      <bottom style="double">
        <color rgb="FF92D050"/>
      </bottom>
      <diagonal/>
    </border>
    <border>
      <left/>
      <right/>
      <top style="double">
        <color rgb="FF92D050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61">
    <xf numFmtId="0" fontId="0" fillId="0" borderId="0" xfId="0"/>
    <xf numFmtId="0" fontId="3" fillId="2" borderId="9" xfId="0" applyFont="1" applyFill="1" applyBorder="1" applyAlignment="1" applyProtection="1">
      <alignment horizontal="center" vertical="center" shrinkToFit="1"/>
      <protection locked="0"/>
    </xf>
    <xf numFmtId="0" fontId="3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vertical="center" shrinkToFit="1"/>
    </xf>
    <xf numFmtId="0" fontId="8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shrinkToFit="1"/>
    </xf>
    <xf numFmtId="0" fontId="3" fillId="2" borderId="0" xfId="0" applyFont="1" applyFill="1" applyBorder="1" applyAlignment="1" applyProtection="1">
      <alignment vertical="center" shrinkToFit="1"/>
    </xf>
    <xf numFmtId="164" fontId="3" fillId="2" borderId="0" xfId="0" applyNumberFormat="1" applyFont="1" applyFill="1" applyAlignment="1" applyProtection="1">
      <alignment vertical="center" shrinkToFit="1"/>
    </xf>
    <xf numFmtId="0" fontId="3" fillId="2" borderId="9" xfId="0" applyFont="1" applyFill="1" applyBorder="1" applyAlignment="1" applyProtection="1">
      <alignment horizontal="right" vertical="center" shrinkToFit="1"/>
    </xf>
    <xf numFmtId="0" fontId="3" fillId="2" borderId="0" xfId="0" applyFont="1" applyFill="1" applyBorder="1" applyAlignment="1" applyProtection="1">
      <alignment shrinkToFit="1"/>
    </xf>
    <xf numFmtId="165" fontId="3" fillId="2" borderId="0" xfId="0" applyNumberFormat="1" applyFont="1" applyFill="1" applyBorder="1" applyAlignment="1" applyProtection="1">
      <alignment vertical="center" shrinkToFit="1"/>
    </xf>
    <xf numFmtId="0" fontId="7" fillId="2" borderId="0" xfId="0" applyFont="1" applyFill="1" applyBorder="1" applyAlignment="1" applyProtection="1">
      <alignment shrinkToFit="1"/>
    </xf>
    <xf numFmtId="0" fontId="7" fillId="2" borderId="0" xfId="0" applyFont="1" applyFill="1" applyBorder="1" applyAlignment="1" applyProtection="1">
      <alignment horizontal="right" shrinkToFit="1"/>
    </xf>
    <xf numFmtId="0" fontId="7" fillId="2" borderId="0" xfId="0" applyFont="1" applyFill="1" applyAlignment="1" applyProtection="1">
      <alignment shrinkToFit="1"/>
    </xf>
    <xf numFmtId="0" fontId="12" fillId="2" borderId="0" xfId="0" applyFont="1" applyFill="1" applyAlignment="1">
      <alignment shrinkToFit="1"/>
    </xf>
    <xf numFmtId="0" fontId="13" fillId="2" borderId="0" xfId="0" applyFont="1" applyFill="1" applyAlignment="1">
      <alignment shrinkToFit="1"/>
    </xf>
    <xf numFmtId="0" fontId="13" fillId="2" borderId="0" xfId="0" applyFont="1" applyFill="1" applyAlignment="1">
      <alignment horizontal="center" vertical="center"/>
    </xf>
    <xf numFmtId="0" fontId="14" fillId="2" borderId="0" xfId="0" applyFont="1" applyFill="1"/>
    <xf numFmtId="0" fontId="17" fillId="2" borderId="15" xfId="0" applyFont="1" applyFill="1" applyBorder="1" applyAlignment="1">
      <alignment horizontal="right" shrinkToFit="1"/>
    </xf>
    <xf numFmtId="0" fontId="18" fillId="2" borderId="15" xfId="0" applyFont="1" applyFill="1" applyBorder="1" applyAlignment="1" applyProtection="1">
      <alignment horizontal="right" shrinkToFit="1"/>
      <protection locked="0"/>
    </xf>
    <xf numFmtId="0" fontId="12" fillId="2" borderId="0" xfId="0" applyFont="1" applyFill="1" applyBorder="1" applyAlignment="1">
      <alignment shrinkToFit="1"/>
    </xf>
    <xf numFmtId="165" fontId="18" fillId="2" borderId="0" xfId="0" applyNumberFormat="1" applyFont="1" applyFill="1" applyBorder="1" applyAlignment="1">
      <alignment vertical="center" shrinkToFit="1"/>
    </xf>
    <xf numFmtId="0" fontId="17" fillId="2" borderId="15" xfId="0" applyFont="1" applyFill="1" applyBorder="1" applyAlignment="1">
      <alignment shrinkToFit="1"/>
    </xf>
    <xf numFmtId="0" fontId="18" fillId="2" borderId="15" xfId="0" applyFont="1" applyFill="1" applyBorder="1" applyAlignment="1">
      <alignment horizontal="right" shrinkToFit="1"/>
    </xf>
    <xf numFmtId="166" fontId="12" fillId="2" borderId="0" xfId="0" applyNumberFormat="1" applyFont="1" applyFill="1" applyBorder="1" applyAlignment="1">
      <alignment shrinkToFit="1"/>
    </xf>
    <xf numFmtId="0" fontId="13" fillId="2" borderId="0" xfId="0" applyFont="1" applyFill="1" applyBorder="1" applyAlignment="1">
      <alignment horizontal="center" vertical="center"/>
    </xf>
    <xf numFmtId="0" fontId="21" fillId="3" borderId="17" xfId="0" applyFont="1" applyFill="1" applyBorder="1" applyAlignment="1">
      <alignment vertical="center" shrinkToFit="1"/>
    </xf>
    <xf numFmtId="0" fontId="23" fillId="2" borderId="18" xfId="0" applyFont="1" applyFill="1" applyBorder="1" applyAlignment="1">
      <alignment horizontal="right" shrinkToFit="1"/>
    </xf>
    <xf numFmtId="0" fontId="23" fillId="2" borderId="19" xfId="0" applyFont="1" applyFill="1" applyBorder="1" applyAlignment="1">
      <alignment horizontal="right" shrinkToFit="1"/>
    </xf>
    <xf numFmtId="9" fontId="21" fillId="3" borderId="20" xfId="0" applyNumberFormat="1" applyFont="1" applyFill="1" applyBorder="1" applyAlignment="1" applyProtection="1">
      <alignment vertical="center" shrinkToFit="1"/>
    </xf>
    <xf numFmtId="0" fontId="23" fillId="2" borderId="21" xfId="0" applyFont="1" applyFill="1" applyBorder="1" applyAlignment="1">
      <alignment horizontal="right" shrinkToFit="1"/>
    </xf>
    <xf numFmtId="0" fontId="23" fillId="2" borderId="22" xfId="0" applyFont="1" applyFill="1" applyBorder="1" applyAlignment="1">
      <alignment horizontal="right" shrinkToFit="1"/>
    </xf>
    <xf numFmtId="0" fontId="21" fillId="3" borderId="20" xfId="0" applyFont="1" applyFill="1" applyBorder="1" applyAlignment="1">
      <alignment vertical="center" shrinkToFit="1"/>
    </xf>
    <xf numFmtId="9" fontId="21" fillId="3" borderId="20" xfId="0" applyNumberFormat="1" applyFont="1" applyFill="1" applyBorder="1" applyAlignment="1">
      <alignment vertical="center" shrinkToFit="1"/>
    </xf>
    <xf numFmtId="0" fontId="24" fillId="2" borderId="0" xfId="0" applyFont="1" applyFill="1" applyBorder="1" applyAlignment="1">
      <alignment shrinkToFit="1"/>
    </xf>
    <xf numFmtId="0" fontId="25" fillId="2" borderId="0" xfId="0" applyFont="1" applyFill="1"/>
    <xf numFmtId="0" fontId="24" fillId="2" borderId="0" xfId="0" applyFont="1" applyFill="1" applyBorder="1" applyAlignment="1">
      <alignment horizontal="right" shrinkToFit="1"/>
    </xf>
    <xf numFmtId="0" fontId="12" fillId="2" borderId="0" xfId="0" applyFont="1" applyFill="1" applyAlignment="1">
      <alignment horizontal="right" shrinkToFit="1"/>
    </xf>
    <xf numFmtId="0" fontId="6" fillId="2" borderId="3" xfId="0" applyFont="1" applyFill="1" applyBorder="1" applyAlignment="1" applyProtection="1">
      <alignment horizontal="right" vertical="center" shrinkToFit="1"/>
    </xf>
    <xf numFmtId="0" fontId="29" fillId="6" borderId="10" xfId="0" applyFont="1" applyFill="1" applyBorder="1" applyAlignment="1" applyProtection="1">
      <alignment horizontal="right" vertical="center" shrinkToFit="1"/>
    </xf>
    <xf numFmtId="0" fontId="29" fillId="6" borderId="13" xfId="0" applyFont="1" applyFill="1" applyBorder="1" applyAlignment="1" applyProtection="1">
      <alignment horizontal="right" vertical="center" shrinkToFit="1"/>
    </xf>
    <xf numFmtId="0" fontId="29" fillId="6" borderId="29" xfId="0" applyFont="1" applyFill="1" applyBorder="1" applyAlignment="1" applyProtection="1">
      <alignment horizontal="right" vertical="center" shrinkToFit="1"/>
    </xf>
    <xf numFmtId="9" fontId="29" fillId="6" borderId="31" xfId="0" applyNumberFormat="1" applyFont="1" applyFill="1" applyBorder="1" applyAlignment="1" applyProtection="1">
      <alignment horizontal="right" vertical="center" shrinkToFit="1"/>
    </xf>
    <xf numFmtId="0" fontId="29" fillId="6" borderId="28" xfId="0" applyFont="1" applyFill="1" applyBorder="1" applyAlignment="1" applyProtection="1">
      <alignment horizontal="right" vertical="center" shrinkToFit="1"/>
    </xf>
    <xf numFmtId="9" fontId="29" fillId="6" borderId="9" xfId="0" applyNumberFormat="1" applyFont="1" applyFill="1" applyBorder="1" applyAlignment="1" applyProtection="1">
      <alignment horizontal="right" vertical="center" shrinkToFit="1"/>
    </xf>
    <xf numFmtId="0" fontId="6" fillId="2" borderId="4" xfId="0" applyFont="1" applyFill="1" applyBorder="1" applyAlignment="1" applyProtection="1">
      <alignment horizontal="right" vertical="center" shrinkToFit="1"/>
    </xf>
    <xf numFmtId="0" fontId="6" fillId="2" borderId="5" xfId="0" applyFont="1" applyFill="1" applyBorder="1" applyAlignment="1" applyProtection="1">
      <alignment horizontal="right" vertical="center" shrinkToFit="1"/>
    </xf>
    <xf numFmtId="168" fontId="6" fillId="2" borderId="3" xfId="0" applyNumberFormat="1" applyFont="1" applyFill="1" applyBorder="1" applyAlignment="1" applyProtection="1">
      <alignment horizontal="right" vertical="center" shrinkToFit="1"/>
    </xf>
    <xf numFmtId="168" fontId="6" fillId="2" borderId="4" xfId="0" applyNumberFormat="1" applyFont="1" applyFill="1" applyBorder="1" applyAlignment="1" applyProtection="1">
      <alignment horizontal="right" vertical="center" shrinkToFit="1"/>
    </xf>
    <xf numFmtId="168" fontId="6" fillId="2" borderId="5" xfId="0" applyNumberFormat="1" applyFont="1" applyFill="1" applyBorder="1" applyAlignment="1" applyProtection="1">
      <alignment horizontal="right" vertical="center" shrinkToFit="1"/>
    </xf>
    <xf numFmtId="0" fontId="20" fillId="3" borderId="35" xfId="0" applyFont="1" applyFill="1" applyBorder="1" applyAlignment="1">
      <alignment vertical="center" shrinkToFit="1"/>
    </xf>
    <xf numFmtId="0" fontId="21" fillId="3" borderId="36" xfId="0" applyFont="1" applyFill="1" applyBorder="1" applyAlignment="1">
      <alignment vertical="center" shrinkToFit="1"/>
    </xf>
    <xf numFmtId="0" fontId="22" fillId="3" borderId="37" xfId="0" applyFont="1" applyFill="1" applyBorder="1" applyAlignment="1">
      <alignment horizontal="center" shrinkToFit="1"/>
    </xf>
    <xf numFmtId="0" fontId="22" fillId="3" borderId="38" xfId="0" applyFont="1" applyFill="1" applyBorder="1" applyAlignment="1">
      <alignment horizontal="center" shrinkToFit="1"/>
    </xf>
    <xf numFmtId="0" fontId="20" fillId="3" borderId="39" xfId="0" applyFont="1" applyFill="1" applyBorder="1" applyAlignment="1">
      <alignment vertical="center" shrinkToFit="1"/>
    </xf>
    <xf numFmtId="0" fontId="23" fillId="2" borderId="40" xfId="0" applyFont="1" applyFill="1" applyBorder="1" applyAlignment="1">
      <alignment horizontal="right" shrinkToFit="1"/>
    </xf>
    <xf numFmtId="0" fontId="20" fillId="3" borderId="41" xfId="0" applyFont="1" applyFill="1" applyBorder="1" applyAlignment="1">
      <alignment vertical="center" shrinkToFit="1"/>
    </xf>
    <xf numFmtId="0" fontId="23" fillId="2" borderId="42" xfId="0" applyFont="1" applyFill="1" applyBorder="1" applyAlignment="1">
      <alignment horizontal="right" shrinkToFit="1"/>
    </xf>
    <xf numFmtId="0" fontId="20" fillId="3" borderId="43" xfId="0" applyFont="1" applyFill="1" applyBorder="1" applyAlignment="1">
      <alignment vertical="center" shrinkToFit="1"/>
    </xf>
    <xf numFmtId="0" fontId="21" fillId="3" borderId="44" xfId="0" applyFont="1" applyFill="1" applyBorder="1" applyAlignment="1">
      <alignment vertical="center" shrinkToFit="1"/>
    </xf>
    <xf numFmtId="0" fontId="23" fillId="2" borderId="45" xfId="0" applyFont="1" applyFill="1" applyBorder="1" applyAlignment="1">
      <alignment horizontal="right" shrinkToFit="1"/>
    </xf>
    <xf numFmtId="0" fontId="23" fillId="2" borderId="46" xfId="0" applyFont="1" applyFill="1" applyBorder="1" applyAlignment="1">
      <alignment horizontal="right" shrinkToFit="1"/>
    </xf>
    <xf numFmtId="0" fontId="23" fillId="2" borderId="47" xfId="0" applyFont="1" applyFill="1" applyBorder="1" applyAlignment="1">
      <alignment horizontal="right" shrinkToFit="1"/>
    </xf>
    <xf numFmtId="0" fontId="30" fillId="8" borderId="48" xfId="0" applyFont="1" applyFill="1" applyBorder="1" applyAlignment="1" applyProtection="1">
      <alignment vertical="center" shrinkToFit="1"/>
    </xf>
    <xf numFmtId="0" fontId="30" fillId="8" borderId="0" xfId="0" applyFont="1" applyFill="1" applyBorder="1" applyAlignment="1" applyProtection="1">
      <alignment vertical="center" shrinkToFit="1"/>
    </xf>
    <xf numFmtId="0" fontId="23" fillId="2" borderId="48" xfId="0" applyFont="1" applyFill="1" applyBorder="1" applyAlignment="1">
      <alignment horizontal="right" shrinkToFit="1"/>
    </xf>
    <xf numFmtId="0" fontId="14" fillId="2" borderId="0" xfId="0" applyFont="1" applyFill="1" applyBorder="1"/>
    <xf numFmtId="1" fontId="6" fillId="2" borderId="3" xfId="0" applyNumberFormat="1" applyFont="1" applyFill="1" applyBorder="1" applyAlignment="1" applyProtection="1">
      <alignment horizontal="right" vertical="center" shrinkToFit="1"/>
    </xf>
    <xf numFmtId="1" fontId="6" fillId="2" borderId="4" xfId="0" applyNumberFormat="1" applyFont="1" applyFill="1" applyBorder="1" applyAlignment="1" applyProtection="1">
      <alignment horizontal="right" vertical="center" shrinkToFit="1"/>
    </xf>
    <xf numFmtId="1" fontId="6" fillId="2" borderId="5" xfId="0" applyNumberFormat="1" applyFont="1" applyFill="1" applyBorder="1" applyAlignment="1" applyProtection="1">
      <alignment horizontal="right" vertical="center" shrinkToFit="1"/>
    </xf>
    <xf numFmtId="0" fontId="3" fillId="2" borderId="0" xfId="0" applyFont="1" applyFill="1" applyAlignment="1" applyProtection="1">
      <alignment horizontal="center" vertical="center" shrinkToFit="1"/>
    </xf>
    <xf numFmtId="2" fontId="6" fillId="2" borderId="27" xfId="0" applyNumberFormat="1" applyFont="1" applyFill="1" applyBorder="1" applyAlignment="1" applyProtection="1">
      <alignment horizontal="right" vertical="center" shrinkToFit="1"/>
    </xf>
    <xf numFmtId="0" fontId="3" fillId="2" borderId="9" xfId="0" applyFont="1" applyFill="1" applyBorder="1" applyAlignment="1" applyProtection="1">
      <alignment horizontal="right" shrinkToFit="1"/>
    </xf>
    <xf numFmtId="0" fontId="33" fillId="9" borderId="7" xfId="0" applyFont="1" applyFill="1" applyBorder="1" applyAlignment="1" applyProtection="1">
      <alignment horizontal="center" vertical="center" shrinkToFit="1"/>
    </xf>
    <xf numFmtId="0" fontId="33" fillId="9" borderId="6" xfId="0" applyFont="1" applyFill="1" applyBorder="1" applyAlignment="1" applyProtection="1">
      <alignment horizontal="center" vertical="center" shrinkToFit="1"/>
    </xf>
    <xf numFmtId="0" fontId="33" fillId="9" borderId="12" xfId="0" applyFont="1" applyFill="1" applyBorder="1" applyAlignment="1" applyProtection="1">
      <alignment horizontal="center" vertical="center" shrinkToFit="1"/>
    </xf>
    <xf numFmtId="0" fontId="6" fillId="2" borderId="50" xfId="0" applyFont="1" applyFill="1" applyBorder="1" applyAlignment="1" applyProtection="1">
      <alignment horizontal="right" vertical="center" shrinkToFit="1"/>
    </xf>
    <xf numFmtId="0" fontId="6" fillId="2" borderId="51" xfId="0" applyFont="1" applyFill="1" applyBorder="1" applyAlignment="1" applyProtection="1">
      <alignment horizontal="right" vertical="center" shrinkToFit="1"/>
    </xf>
    <xf numFmtId="0" fontId="6" fillId="2" borderId="52" xfId="0" applyFont="1" applyFill="1" applyBorder="1" applyAlignment="1" applyProtection="1">
      <alignment horizontal="right" vertical="center" shrinkToFit="1"/>
    </xf>
    <xf numFmtId="0" fontId="34" fillId="9" borderId="10" xfId="0" applyFont="1" applyFill="1" applyBorder="1" applyAlignment="1" applyProtection="1">
      <alignment horizontal="right" vertical="center" shrinkToFit="1"/>
    </xf>
    <xf numFmtId="9" fontId="34" fillId="9" borderId="49" xfId="0" applyNumberFormat="1" applyFont="1" applyFill="1" applyBorder="1" applyAlignment="1" applyProtection="1">
      <alignment horizontal="right" vertical="center" shrinkToFit="1"/>
    </xf>
    <xf numFmtId="0" fontId="6" fillId="2" borderId="53" xfId="0" applyFont="1" applyFill="1" applyBorder="1" applyAlignment="1" applyProtection="1">
      <alignment horizontal="right" vertical="center" shrinkToFit="1"/>
    </xf>
    <xf numFmtId="9" fontId="34" fillId="9" borderId="49" xfId="0" applyNumberFormat="1" applyFont="1" applyFill="1" applyBorder="1" applyAlignment="1" applyProtection="1">
      <alignment horizontal="right" vertical="center" shrinkToFit="1"/>
      <protection locked="0"/>
    </xf>
    <xf numFmtId="0" fontId="34" fillId="9" borderId="49" xfId="0" applyFont="1" applyFill="1" applyBorder="1" applyAlignment="1" applyProtection="1">
      <alignment horizontal="right" vertical="center" shrinkToFit="1"/>
    </xf>
    <xf numFmtId="0" fontId="34" fillId="9" borderId="49" xfId="0" applyNumberFormat="1" applyFont="1" applyFill="1" applyBorder="1" applyAlignment="1" applyProtection="1">
      <alignment horizontal="right" vertical="center" shrinkToFit="1"/>
      <protection locked="0"/>
    </xf>
    <xf numFmtId="0" fontId="34" fillId="9" borderId="13" xfId="0" applyFont="1" applyFill="1" applyBorder="1" applyAlignment="1" applyProtection="1">
      <alignment horizontal="right" vertical="center" shrinkToFit="1"/>
    </xf>
    <xf numFmtId="0" fontId="34" fillId="9" borderId="54" xfId="0" applyFont="1" applyFill="1" applyBorder="1" applyAlignment="1" applyProtection="1">
      <alignment horizontal="right" vertical="center" shrinkToFit="1"/>
    </xf>
    <xf numFmtId="0" fontId="6" fillId="2" borderId="55" xfId="0" applyFont="1" applyFill="1" applyBorder="1" applyAlignment="1" applyProtection="1">
      <alignment horizontal="right" vertical="center" shrinkToFit="1"/>
    </xf>
    <xf numFmtId="0" fontId="6" fillId="2" borderId="56" xfId="0" applyFont="1" applyFill="1" applyBorder="1" applyAlignment="1" applyProtection="1">
      <alignment horizontal="right" vertical="center" shrinkToFit="1"/>
    </xf>
    <xf numFmtId="0" fontId="6" fillId="2" borderId="57" xfId="0" applyFont="1" applyFill="1" applyBorder="1" applyAlignment="1" applyProtection="1">
      <alignment horizontal="right" vertical="center" shrinkToFit="1"/>
    </xf>
    <xf numFmtId="168" fontId="6" fillId="2" borderId="58" xfId="0" applyNumberFormat="1" applyFont="1" applyFill="1" applyBorder="1" applyAlignment="1" applyProtection="1">
      <alignment horizontal="right" vertical="center" shrinkToFit="1"/>
    </xf>
    <xf numFmtId="168" fontId="6" fillId="2" borderId="14" xfId="0" applyNumberFormat="1" applyFont="1" applyFill="1" applyBorder="1" applyAlignment="1" applyProtection="1">
      <alignment horizontal="right" vertical="center" shrinkToFit="1"/>
    </xf>
    <xf numFmtId="168" fontId="6" fillId="2" borderId="2" xfId="0" applyNumberFormat="1" applyFont="1" applyFill="1" applyBorder="1" applyAlignment="1" applyProtection="1">
      <alignment horizontal="right" vertical="center" shrinkToFit="1"/>
    </xf>
    <xf numFmtId="0" fontId="6" fillId="2" borderId="60" xfId="0" applyFont="1" applyFill="1" applyBorder="1" applyAlignment="1" applyProtection="1">
      <alignment horizontal="right" vertical="center" shrinkToFit="1"/>
    </xf>
    <xf numFmtId="0" fontId="6" fillId="2" borderId="33" xfId="0" applyFont="1" applyFill="1" applyBorder="1" applyAlignment="1" applyProtection="1">
      <alignment horizontal="right" vertical="center" shrinkToFit="1"/>
    </xf>
    <xf numFmtId="0" fontId="6" fillId="2" borderId="34" xfId="0" applyFont="1" applyFill="1" applyBorder="1" applyAlignment="1" applyProtection="1">
      <alignment horizontal="right" vertical="center" shrinkToFit="1"/>
    </xf>
    <xf numFmtId="0" fontId="3" fillId="2" borderId="9" xfId="0" applyFont="1" applyFill="1" applyBorder="1" applyAlignment="1" applyProtection="1">
      <alignment horizontal="center" vertical="center" shrinkToFit="1"/>
    </xf>
    <xf numFmtId="0" fontId="3" fillId="2" borderId="0" xfId="0" applyFont="1" applyFill="1" applyAlignment="1" applyProtection="1">
      <alignment horizontal="center" vertical="center" shrinkToFit="1"/>
    </xf>
    <xf numFmtId="0" fontId="3" fillId="2" borderId="31" xfId="0" applyFont="1" applyFill="1" applyBorder="1" applyAlignment="1" applyProtection="1">
      <alignment horizontal="right" vertical="center" shrinkToFit="1"/>
    </xf>
    <xf numFmtId="0" fontId="3" fillId="2" borderId="31" xfId="0" applyFont="1" applyFill="1" applyBorder="1" applyAlignment="1" applyProtection="1">
      <alignment horizontal="center" vertical="center" shrinkToFit="1"/>
    </xf>
    <xf numFmtId="0" fontId="27" fillId="2" borderId="0" xfId="0" applyFont="1" applyFill="1" applyBorder="1" applyAlignment="1" applyProtection="1">
      <alignment horizontal="center" vertical="center" shrinkToFit="1"/>
    </xf>
    <xf numFmtId="166" fontId="3" fillId="2" borderId="0" xfId="0" applyNumberFormat="1" applyFont="1" applyFill="1" applyBorder="1" applyAlignment="1" applyProtection="1">
      <alignment horizontal="center" vertical="center" shrinkToFit="1"/>
    </xf>
    <xf numFmtId="0" fontId="37" fillId="2" borderId="0" xfId="0" applyFont="1" applyFill="1" applyBorder="1" applyAlignment="1" applyProtection="1">
      <alignment horizontal="center" vertical="center" shrinkToFit="1"/>
    </xf>
    <xf numFmtId="0" fontId="29" fillId="6" borderId="29" xfId="0" quotePrefix="1" applyFont="1" applyFill="1" applyBorder="1" applyAlignment="1" applyProtection="1">
      <alignment horizontal="center" vertical="center" shrinkToFit="1"/>
    </xf>
    <xf numFmtId="0" fontId="29" fillId="6" borderId="31" xfId="0" applyFont="1" applyFill="1" applyBorder="1" applyAlignment="1" applyProtection="1">
      <alignment horizontal="center" vertical="center" shrinkToFit="1"/>
    </xf>
    <xf numFmtId="9" fontId="29" fillId="6" borderId="9" xfId="0" applyNumberFormat="1" applyFont="1" applyFill="1" applyBorder="1" applyAlignment="1" applyProtection="1">
      <alignment horizontal="right" vertical="center" shrinkToFit="1"/>
      <protection locked="0"/>
    </xf>
    <xf numFmtId="0" fontId="29" fillId="6" borderId="9" xfId="0" applyNumberFormat="1" applyFont="1" applyFill="1" applyBorder="1" applyAlignment="1" applyProtection="1">
      <alignment horizontal="center" vertical="center" shrinkToFit="1"/>
      <protection locked="0"/>
    </xf>
    <xf numFmtId="0" fontId="28" fillId="6" borderId="1" xfId="0" applyFont="1" applyFill="1" applyBorder="1" applyAlignment="1" applyProtection="1">
      <alignment horizontal="center" vertical="center" shrinkToFit="1"/>
    </xf>
    <xf numFmtId="0" fontId="28" fillId="6" borderId="2" xfId="0" applyFont="1" applyFill="1" applyBorder="1" applyAlignment="1" applyProtection="1">
      <alignment horizontal="center" vertical="center" shrinkToFit="1"/>
    </xf>
    <xf numFmtId="0" fontId="28" fillId="6" borderId="14" xfId="0" applyFont="1" applyFill="1" applyBorder="1" applyAlignment="1" applyProtection="1">
      <alignment horizontal="center" vertical="center" shrinkToFit="1"/>
    </xf>
    <xf numFmtId="2" fontId="6" fillId="2" borderId="33" xfId="0" applyNumberFormat="1" applyFont="1" applyFill="1" applyBorder="1" applyAlignment="1" applyProtection="1">
      <alignment horizontal="right" vertical="center" shrinkToFit="1"/>
    </xf>
    <xf numFmtId="2" fontId="6" fillId="2" borderId="34" xfId="0" applyNumberFormat="1" applyFont="1" applyFill="1" applyBorder="1" applyAlignment="1" applyProtection="1">
      <alignment horizontal="right" vertical="center" shrinkToFit="1"/>
    </xf>
    <xf numFmtId="0" fontId="33" fillId="9" borderId="1" xfId="0" applyFont="1" applyFill="1" applyBorder="1" applyAlignment="1" applyProtection="1">
      <alignment horizontal="center" vertical="center" shrinkToFit="1"/>
    </xf>
    <xf numFmtId="0" fontId="33" fillId="9" borderId="2" xfId="0" applyFont="1" applyFill="1" applyBorder="1" applyAlignment="1" applyProtection="1">
      <alignment horizontal="center" vertical="center" shrinkToFit="1"/>
    </xf>
    <xf numFmtId="0" fontId="34" fillId="9" borderId="3" xfId="0" applyFont="1" applyFill="1" applyBorder="1" applyAlignment="1" applyProtection="1">
      <alignment horizontal="right" vertical="center" shrinkToFit="1"/>
    </xf>
    <xf numFmtId="0" fontId="34" fillId="9" borderId="5" xfId="0" applyFont="1" applyFill="1" applyBorder="1" applyAlignment="1" applyProtection="1">
      <alignment horizontal="right" vertical="center" shrinkToFit="1"/>
    </xf>
    <xf numFmtId="0" fontId="34" fillId="9" borderId="1" xfId="0" applyFont="1" applyFill="1" applyBorder="1" applyAlignment="1" applyProtection="1">
      <alignment horizontal="right" vertical="center" shrinkToFit="1"/>
    </xf>
    <xf numFmtId="0" fontId="34" fillId="9" borderId="2" xfId="0" applyFont="1" applyFill="1" applyBorder="1" applyAlignment="1" applyProtection="1">
      <alignment horizontal="right" vertical="center" shrinkToFit="1"/>
    </xf>
    <xf numFmtId="0" fontId="34" fillId="9" borderId="11" xfId="0" applyFont="1" applyFill="1" applyBorder="1" applyAlignment="1" applyProtection="1">
      <alignment horizontal="right" vertical="center" shrinkToFit="1"/>
    </xf>
    <xf numFmtId="0" fontId="34" fillId="9" borderId="59" xfId="0" applyFont="1" applyFill="1" applyBorder="1" applyAlignment="1" applyProtection="1">
      <alignment horizontal="right" vertical="center" shrinkToFit="1"/>
    </xf>
    <xf numFmtId="0" fontId="10" fillId="10" borderId="61" xfId="6" applyFont="1" applyFill="1" applyBorder="1" applyAlignment="1" applyProtection="1">
      <alignment horizontal="center" vertical="center" shrinkToFit="1"/>
    </xf>
    <xf numFmtId="0" fontId="11" fillId="10" borderId="61" xfId="0" applyFont="1" applyFill="1" applyBorder="1" applyAlignment="1" applyProtection="1">
      <alignment horizontal="center" vertical="center" shrinkToFit="1"/>
    </xf>
    <xf numFmtId="0" fontId="35" fillId="11" borderId="23" xfId="6" applyFont="1" applyFill="1" applyBorder="1" applyAlignment="1" applyProtection="1">
      <alignment horizontal="center" vertical="center" shrinkToFit="1"/>
      <protection locked="0"/>
    </xf>
    <xf numFmtId="0" fontId="3" fillId="2" borderId="9" xfId="0" applyFont="1" applyFill="1" applyBorder="1" applyAlignment="1" applyProtection="1">
      <alignment horizontal="center" vertical="center" shrinkToFit="1"/>
    </xf>
    <xf numFmtId="165" fontId="3" fillId="2" borderId="9" xfId="0" applyNumberFormat="1" applyFont="1" applyFill="1" applyBorder="1" applyAlignment="1" applyProtection="1">
      <alignment horizontal="center" vertical="center" shrinkToFit="1"/>
    </xf>
    <xf numFmtId="0" fontId="32" fillId="2" borderId="0" xfId="0" applyFont="1" applyFill="1" applyBorder="1" applyAlignment="1" applyProtection="1">
      <alignment horizontal="center" vertical="center" shrinkToFit="1"/>
    </xf>
    <xf numFmtId="0" fontId="32" fillId="2" borderId="8" xfId="0" applyFont="1" applyFill="1" applyBorder="1" applyAlignment="1" applyProtection="1">
      <alignment horizontal="center" vertical="center" shrinkToFit="1"/>
    </xf>
    <xf numFmtId="166" fontId="3" fillId="2" borderId="9" xfId="0" applyNumberFormat="1" applyFont="1" applyFill="1" applyBorder="1" applyAlignment="1" applyProtection="1">
      <alignment horizontal="center" vertical="center" shrinkToFit="1"/>
    </xf>
    <xf numFmtId="167" fontId="3" fillId="2" borderId="8" xfId="0" applyNumberFormat="1" applyFont="1" applyFill="1" applyBorder="1" applyAlignment="1" applyProtection="1">
      <alignment horizontal="center" vertical="center" shrinkToFit="1"/>
    </xf>
    <xf numFmtId="164" fontId="3" fillId="2" borderId="0" xfId="0" applyNumberFormat="1" applyFont="1" applyFill="1" applyAlignment="1" applyProtection="1">
      <alignment horizontal="center" vertical="center" shrinkToFit="1"/>
    </xf>
    <xf numFmtId="0" fontId="3" fillId="2" borderId="0" xfId="0" applyFont="1" applyFill="1" applyAlignment="1" applyProtection="1">
      <alignment horizontal="center" vertical="center" shrinkToFit="1"/>
    </xf>
    <xf numFmtId="0" fontId="3" fillId="2" borderId="0" xfId="0" applyFont="1" applyFill="1" applyAlignment="1" applyProtection="1">
      <alignment horizontal="center" shrinkToFit="1"/>
    </xf>
    <xf numFmtId="0" fontId="10" fillId="7" borderId="24" xfId="6" applyFont="1" applyFill="1" applyBorder="1" applyAlignment="1" applyProtection="1">
      <alignment horizontal="center" vertical="center" shrinkToFit="1"/>
    </xf>
    <xf numFmtId="0" fontId="10" fillId="7" borderId="25" xfId="6" applyFont="1" applyFill="1" applyBorder="1" applyAlignment="1" applyProtection="1">
      <alignment horizontal="center" vertical="center" shrinkToFit="1"/>
    </xf>
    <xf numFmtId="0" fontId="17" fillId="2" borderId="0" xfId="0" applyFont="1" applyFill="1" applyBorder="1" applyAlignment="1">
      <alignment horizontal="right" shrinkToFit="1"/>
    </xf>
    <xf numFmtId="165" fontId="18" fillId="2" borderId="15" xfId="0" applyNumberFormat="1" applyFont="1" applyFill="1" applyBorder="1" applyAlignment="1">
      <alignment horizontal="center" vertical="center" shrinkToFit="1"/>
    </xf>
    <xf numFmtId="0" fontId="31" fillId="4" borderId="0" xfId="6" applyFont="1" applyFill="1" applyBorder="1" applyAlignment="1" applyProtection="1">
      <alignment horizontal="center" vertical="center" shrinkToFit="1"/>
    </xf>
    <xf numFmtId="0" fontId="3" fillId="2" borderId="0" xfId="0" applyFont="1" applyFill="1" applyAlignment="1">
      <alignment horizontal="center" vertical="center" shrinkToFit="1"/>
    </xf>
    <xf numFmtId="0" fontId="3" fillId="2" borderId="0" xfId="0" applyFont="1" applyFill="1" applyAlignment="1">
      <alignment horizontal="center" shrinkToFit="1"/>
    </xf>
    <xf numFmtId="0" fontId="15" fillId="2" borderId="0" xfId="0" applyFont="1" applyFill="1" applyAlignment="1">
      <alignment horizontal="center" shrinkToFit="1"/>
    </xf>
    <xf numFmtId="0" fontId="16" fillId="2" borderId="0" xfId="0" applyFont="1" applyFill="1" applyAlignment="1">
      <alignment horizontal="center" wrapText="1" shrinkToFit="1"/>
    </xf>
    <xf numFmtId="166" fontId="18" fillId="2" borderId="15" xfId="0" applyNumberFormat="1" applyFont="1" applyFill="1" applyBorder="1" applyAlignment="1">
      <alignment horizontal="center" vertical="center" shrinkToFit="1"/>
    </xf>
    <xf numFmtId="167" fontId="18" fillId="2" borderId="16" xfId="0" applyNumberFormat="1" applyFont="1" applyFill="1" applyBorder="1" applyAlignment="1" applyProtection="1">
      <alignment horizontal="center" vertical="center" shrinkToFit="1"/>
      <protection locked="0"/>
    </xf>
    <xf numFmtId="0" fontId="19" fillId="2" borderId="0" xfId="0" applyFont="1" applyFill="1" applyBorder="1" applyAlignment="1">
      <alignment horizontal="center" shrinkToFit="1"/>
    </xf>
    <xf numFmtId="0" fontId="11" fillId="7" borderId="25" xfId="0" applyFont="1" applyFill="1" applyBorder="1" applyAlignment="1" applyProtection="1">
      <alignment horizontal="center" vertical="center" shrinkToFit="1"/>
    </xf>
    <xf numFmtId="0" fontId="11" fillId="7" borderId="26" xfId="0" applyFont="1" applyFill="1" applyBorder="1" applyAlignment="1" applyProtection="1">
      <alignment horizontal="center" vertical="center" shrinkToFit="1"/>
    </xf>
    <xf numFmtId="0" fontId="29" fillId="6" borderId="11" xfId="0" applyFont="1" applyFill="1" applyBorder="1" applyAlignment="1" applyProtection="1">
      <alignment horizontal="right" vertical="center" shrinkToFit="1"/>
    </xf>
    <xf numFmtId="0" fontId="29" fillId="6" borderId="23" xfId="0" applyFont="1" applyFill="1" applyBorder="1" applyAlignment="1" applyProtection="1">
      <alignment horizontal="right" vertical="center" shrinkToFit="1"/>
    </xf>
    <xf numFmtId="0" fontId="29" fillId="6" borderId="1" xfId="0" applyFont="1" applyFill="1" applyBorder="1" applyAlignment="1" applyProtection="1">
      <alignment horizontal="right" vertical="center" shrinkToFit="1"/>
    </xf>
    <xf numFmtId="0" fontId="29" fillId="6" borderId="32" xfId="0" applyFont="1" applyFill="1" applyBorder="1" applyAlignment="1" applyProtection="1">
      <alignment horizontal="right" vertical="center" shrinkToFit="1"/>
    </xf>
    <xf numFmtId="0" fontId="29" fillId="6" borderId="3" xfId="0" quotePrefix="1" applyFont="1" applyFill="1" applyBorder="1" applyAlignment="1" applyProtection="1">
      <alignment horizontal="right" vertical="center" shrinkToFit="1"/>
    </xf>
    <xf numFmtId="0" fontId="29" fillId="6" borderId="30" xfId="0" applyFont="1" applyFill="1" applyBorder="1" applyAlignment="1" applyProtection="1">
      <alignment horizontal="right" vertical="center" shrinkToFit="1"/>
    </xf>
    <xf numFmtId="0" fontId="26" fillId="5" borderId="0" xfId="0" applyFont="1" applyFill="1" applyBorder="1" applyAlignment="1" applyProtection="1">
      <alignment horizontal="center" shrinkToFit="1"/>
    </xf>
    <xf numFmtId="0" fontId="26" fillId="5" borderId="8" xfId="0" applyFont="1" applyFill="1" applyBorder="1" applyAlignment="1" applyProtection="1">
      <alignment horizontal="center" shrinkToFit="1"/>
    </xf>
    <xf numFmtId="0" fontId="28" fillId="6" borderId="1" xfId="0" applyFont="1" applyFill="1" applyBorder="1" applyAlignment="1" applyProtection="1">
      <alignment horizontal="center" vertical="center" shrinkToFit="1"/>
    </xf>
    <xf numFmtId="0" fontId="28" fillId="6" borderId="2" xfId="0" applyFont="1" applyFill="1" applyBorder="1" applyAlignment="1" applyProtection="1">
      <alignment horizontal="center" vertical="center" shrinkToFit="1"/>
    </xf>
    <xf numFmtId="0" fontId="35" fillId="4" borderId="23" xfId="6" applyFont="1" applyFill="1" applyBorder="1" applyAlignment="1" applyProtection="1">
      <alignment horizontal="center" vertical="center" shrinkToFit="1"/>
    </xf>
    <xf numFmtId="0" fontId="27" fillId="2" borderId="28" xfId="0" applyFont="1" applyFill="1" applyBorder="1" applyAlignment="1" applyProtection="1">
      <alignment horizontal="center" vertical="center" shrinkToFit="1"/>
    </xf>
    <xf numFmtId="0" fontId="29" fillId="6" borderId="10" xfId="0" quotePrefix="1" applyFont="1" applyFill="1" applyBorder="1" applyAlignment="1" applyProtection="1">
      <alignment horizontal="center" vertical="center" shrinkToFit="1"/>
    </xf>
    <xf numFmtId="0" fontId="29" fillId="6" borderId="9" xfId="0" applyFont="1" applyFill="1" applyBorder="1" applyAlignment="1" applyProtection="1">
      <alignment horizontal="center" vertical="center" shrinkToFit="1"/>
    </xf>
    <xf numFmtId="0" fontId="29" fillId="6" borderId="49" xfId="0" quotePrefix="1" applyFont="1" applyFill="1" applyBorder="1" applyAlignment="1" applyProtection="1">
      <alignment horizontal="center" vertical="center" shrinkToFit="1"/>
    </xf>
  </cellXfs>
  <cellStyles count="7">
    <cellStyle name="Hyperlink" xfId="6" builtinId="8"/>
    <cellStyle name="Normal" xfId="0" builtinId="0"/>
    <cellStyle name="Normal 2" xfId="1"/>
    <cellStyle name="Normal 2 2" xfId="2"/>
    <cellStyle name="Normal 3" xfId="3"/>
    <cellStyle name="Normal 4" xfId="4"/>
    <cellStyle name="Normal 5" xfId="5"/>
  </cellStyles>
  <dxfs count="14">
    <dxf>
      <font>
        <color theme="0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1"/>
      </font>
    </dxf>
    <dxf>
      <font>
        <color theme="1"/>
      </font>
    </dxf>
    <dxf>
      <font>
        <color theme="4" tint="0.79998168889431442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</dxfs>
  <tableStyles count="0" defaultTableStyle="TableStyleMedium9" defaultPivotStyle="PivotStyleLight16"/>
  <colors>
    <mruColors>
      <color rgb="FF005426"/>
      <color rgb="FF008A3E"/>
      <color rgb="FF00642D"/>
      <color rgb="FF63972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gif"/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42337</xdr:colOff>
      <xdr:row>0</xdr:row>
      <xdr:rowOff>63501</xdr:rowOff>
    </xdr:from>
    <xdr:to>
      <xdr:col>17</xdr:col>
      <xdr:colOff>804347</xdr:colOff>
      <xdr:row>5</xdr:row>
      <xdr:rowOff>127001</xdr:rowOff>
    </xdr:to>
    <xdr:pic>
      <xdr:nvPicPr>
        <xdr:cNvPr id="3" name="صورة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00535153" y="63501"/>
          <a:ext cx="11493510" cy="20955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377031</xdr:colOff>
      <xdr:row>0</xdr:row>
      <xdr:rowOff>86513</xdr:rowOff>
    </xdr:from>
    <xdr:to>
      <xdr:col>14</xdr:col>
      <xdr:colOff>887385</xdr:colOff>
      <xdr:row>4</xdr:row>
      <xdr:rowOff>277812</xdr:rowOff>
    </xdr:to>
    <xdr:pic>
      <xdr:nvPicPr>
        <xdr:cNvPr id="2" name="صورة 1" descr="سعار البريد السعودي.jpg"/>
        <xdr:cNvPicPr>
          <a:picLocks noChangeAspect="1"/>
        </xdr:cNvPicPr>
      </xdr:nvPicPr>
      <xdr:blipFill>
        <a:blip xmlns:r="http://schemas.openxmlformats.org/officeDocument/2006/relationships" r:embed="rId1" cstate="print">
          <a:lum bright="-30000"/>
        </a:blip>
        <a:stretch>
          <a:fillRect/>
        </a:stretch>
      </xdr:blipFill>
      <xdr:spPr>
        <a:xfrm>
          <a:off x="11370250496" y="86513"/>
          <a:ext cx="11747473" cy="1659737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  <xdr:twoCellAnchor>
    <xdr:from>
      <xdr:col>11</xdr:col>
      <xdr:colOff>370410</xdr:colOff>
      <xdr:row>0</xdr:row>
      <xdr:rowOff>79369</xdr:rowOff>
    </xdr:from>
    <xdr:to>
      <xdr:col>14</xdr:col>
      <xdr:colOff>615142</xdr:colOff>
      <xdr:row>3</xdr:row>
      <xdr:rowOff>58202</xdr:rowOff>
    </xdr:to>
    <xdr:sp macro="" textlink="">
      <xdr:nvSpPr>
        <xdr:cNvPr id="3" name="مربع نص 2"/>
        <xdr:cNvSpPr txBox="1"/>
      </xdr:nvSpPr>
      <xdr:spPr>
        <a:xfrm>
          <a:off x="11370627514" y="79369"/>
          <a:ext cx="3280826" cy="9313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ctr"/>
        <a:lstStyle/>
        <a:p>
          <a:pPr algn="ctr" rtl="1"/>
          <a:r>
            <a:rPr lang="ar-SA" sz="5400" b="1">
              <a:solidFill>
                <a:srgbClr val="00823B"/>
              </a:solidFill>
              <a:cs typeface="Traditional Arabic" pitchFamily="2" charset="-78"/>
            </a:rPr>
            <a:t>البريد الرسمي</a:t>
          </a:r>
        </a:p>
      </xdr:txBody>
    </xdr:sp>
    <xdr:clientData/>
  </xdr:twoCellAnchor>
  <xdr:twoCellAnchor>
    <xdr:from>
      <xdr:col>10</xdr:col>
      <xdr:colOff>734217</xdr:colOff>
      <xdr:row>1</xdr:row>
      <xdr:rowOff>377031</xdr:rowOff>
    </xdr:from>
    <xdr:to>
      <xdr:col>15</xdr:col>
      <xdr:colOff>25115</xdr:colOff>
      <xdr:row>3</xdr:row>
      <xdr:rowOff>465660</xdr:rowOff>
    </xdr:to>
    <xdr:sp macro="" textlink="">
      <xdr:nvSpPr>
        <xdr:cNvPr id="4" name="مربع نص 3"/>
        <xdr:cNvSpPr txBox="1"/>
      </xdr:nvSpPr>
      <xdr:spPr>
        <a:xfrm>
          <a:off x="11370205510" y="912812"/>
          <a:ext cx="4351054" cy="5053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ctr"/>
        <a:lstStyle/>
        <a:p>
          <a:pPr algn="ctr" rtl="1"/>
          <a:r>
            <a:rPr lang="en-US" sz="3600">
              <a:solidFill>
                <a:srgbClr val="00823B"/>
              </a:solidFill>
              <a:latin typeface="Traditional Arabic" pitchFamily="18" charset="-78"/>
              <a:cs typeface="Traditional Arabic" pitchFamily="18" charset="-78"/>
            </a:rPr>
            <a:t>eimalah@sp.com.sa</a:t>
          </a:r>
          <a:endParaRPr lang="ar-SA" sz="3600">
            <a:solidFill>
              <a:srgbClr val="00823B"/>
            </a:solidFill>
            <a:latin typeface="Traditional Arabic" pitchFamily="18" charset="-78"/>
            <a:cs typeface="Traditional Arabic" pitchFamily="18" charset="-7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</xdr:colOff>
      <xdr:row>3</xdr:row>
      <xdr:rowOff>381001</xdr:rowOff>
    </xdr:from>
    <xdr:to>
      <xdr:col>18</xdr:col>
      <xdr:colOff>0</xdr:colOff>
      <xdr:row>6</xdr:row>
      <xdr:rowOff>419101</xdr:rowOff>
    </xdr:to>
    <xdr:pic>
      <xdr:nvPicPr>
        <xdr:cNvPr id="4" name="صورة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77628000" y="1543051"/>
          <a:ext cx="11734799" cy="9525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276225</xdr:colOff>
          <xdr:row>0</xdr:row>
          <xdr:rowOff>361950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600" b="0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&gt;&gt;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4</xdr:col>
      <xdr:colOff>400050</xdr:colOff>
      <xdr:row>0</xdr:row>
      <xdr:rowOff>12</xdr:rowOff>
    </xdr:from>
    <xdr:to>
      <xdr:col>10</xdr:col>
      <xdr:colOff>476251</xdr:colOff>
      <xdr:row>3</xdr:row>
      <xdr:rowOff>151962</xdr:rowOff>
    </xdr:to>
    <xdr:pic>
      <xdr:nvPicPr>
        <xdr:cNvPr id="11" name="صورة 1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857349" y="12"/>
          <a:ext cx="5105401" cy="1314000"/>
        </a:xfrm>
        <a:prstGeom prst="rect">
          <a:avLst/>
        </a:prstGeom>
        <a:ln>
          <a:noFill/>
        </a:ln>
        <a:effectLst>
          <a:glow rad="254000">
            <a:schemeClr val="bg1"/>
          </a:glow>
          <a:outerShdw dist="38100" sx="1000" sy="1000" algn="tl" rotWithShape="0">
            <a:srgbClr val="005426"/>
          </a:outerShdw>
          <a:reflection stA="50000" dir="5400000" sy="-100000" algn="bl" rotWithShape="0"/>
          <a:softEdge rad="0"/>
        </a:effectLst>
        <a:scene3d>
          <a:camera prst="perspectiveHeroicExtremeLeftFacing"/>
          <a:lightRig rig="threePt" dir="t">
            <a:rot lat="0" lon="0" rev="2700000"/>
          </a:lightRig>
        </a:scene3d>
        <a:sp3d>
          <a:bevelT w="63500" h="50800"/>
        </a:sp3d>
      </xdr:spPr>
    </xdr:pic>
    <xdr:clientData/>
  </xdr:twoCellAnchor>
  <xdr:twoCellAnchor editAs="oneCell">
    <xdr:from>
      <xdr:col>11</xdr:col>
      <xdr:colOff>381000</xdr:colOff>
      <xdr:row>0</xdr:row>
      <xdr:rowOff>0</xdr:rowOff>
    </xdr:from>
    <xdr:to>
      <xdr:col>17</xdr:col>
      <xdr:colOff>400050</xdr:colOff>
      <xdr:row>3</xdr:row>
      <xdr:rowOff>151165</xdr:rowOff>
    </xdr:to>
    <xdr:pic>
      <xdr:nvPicPr>
        <xdr:cNvPr id="13" name="صورة 1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78066150" y="0"/>
          <a:ext cx="5048250" cy="1313215"/>
        </a:xfrm>
        <a:prstGeom prst="rect">
          <a:avLst/>
        </a:prstGeom>
        <a:ln>
          <a:noFill/>
        </a:ln>
        <a:effectLst>
          <a:glow rad="254000">
            <a:schemeClr val="bg1"/>
          </a:glow>
          <a:outerShdw dist="50800" sx="1000" sy="1000" algn="ctr" rotWithShape="0">
            <a:srgbClr val="005426"/>
          </a:outerShdw>
          <a:reflection blurRad="6350" stA="50000" endA="300" dir="5400000" sy="-100000" algn="bl" rotWithShape="0"/>
        </a:effectLst>
        <a:scene3d>
          <a:camera prst="perspectiveHeroicExtremeRightFacing"/>
          <a:lightRig rig="threePt" dir="t">
            <a:rot lat="0" lon="0" rev="2700000"/>
          </a:lightRig>
        </a:scene3d>
        <a:sp3d>
          <a:bevelT w="63500" h="50800"/>
        </a:sp3d>
      </xdr:spPr>
    </xdr:pic>
    <xdr:clientData/>
  </xdr:twoCellAnchor>
  <xdr:oneCellAnchor>
    <xdr:from>
      <xdr:col>7</xdr:col>
      <xdr:colOff>800100</xdr:colOff>
      <xdr:row>4</xdr:row>
      <xdr:rowOff>438150</xdr:rowOff>
    </xdr:from>
    <xdr:ext cx="5086350" cy="638787"/>
    <xdr:sp macro="" textlink="">
      <xdr:nvSpPr>
        <xdr:cNvPr id="2" name="مربع نص 1"/>
        <xdr:cNvSpPr txBox="1"/>
      </xdr:nvSpPr>
      <xdr:spPr>
        <a:xfrm>
          <a:off x="9980961750" y="2000250"/>
          <a:ext cx="5086350" cy="638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 rtl="1"/>
          <a:r>
            <a:rPr lang="ar-SA" sz="3600" b="1" baseline="0">
              <a:solidFill>
                <a:srgbClr val="00642D"/>
              </a:solidFill>
              <a:latin typeface="Traditional Arabic" pitchFamily="18" charset="-78"/>
              <a:cs typeface="Traditional Arabic" pitchFamily="18" charset="-78"/>
            </a:rPr>
            <a:t>تم إضافة المكرمة الملكية</a:t>
          </a:r>
          <a:endParaRPr lang="en-US" sz="3600" b="1">
            <a:solidFill>
              <a:srgbClr val="00642D"/>
            </a:solidFill>
            <a:latin typeface="Traditional Arabic" pitchFamily="18" charset="-78"/>
            <a:cs typeface="Traditional Arabic" pitchFamily="18" charset="-78"/>
          </a:endParaRPr>
        </a:p>
      </xdr:txBody>
    </xdr:sp>
    <xdr:clientData/>
  </xdr:oneCellAnchor>
  <xdr:twoCellAnchor editAs="oneCell">
    <xdr:from>
      <xdr:col>9</xdr:col>
      <xdr:colOff>495300</xdr:colOff>
      <xdr:row>0</xdr:row>
      <xdr:rowOff>1</xdr:rowOff>
    </xdr:from>
    <xdr:to>
      <xdr:col>12</xdr:col>
      <xdr:colOff>323850</xdr:colOff>
      <xdr:row>4</xdr:row>
      <xdr:rowOff>400050</xdr:rowOff>
    </xdr:to>
    <xdr:pic>
      <xdr:nvPicPr>
        <xdr:cNvPr id="3" name="صورة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2333350" y="1"/>
          <a:ext cx="2343150" cy="1962149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imalah@sp.com.sa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eimalah@sp.com.sa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eimalah@sp.com.sa" TargetMode="Externa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6"/>
  <sheetViews>
    <sheetView showGridLines="0" showRowColHeaders="0" rightToLeft="1" zoomScale="45" zoomScaleNormal="45" workbookViewId="0">
      <pane xSplit="22" ySplit="19" topLeftCell="W20" activePane="bottomRight" state="frozen"/>
      <selection pane="topRight" activeCell="W1" sqref="W1"/>
      <selection pane="bottomLeft" activeCell="A20" sqref="A20"/>
      <selection pane="bottomRight" activeCell="A7" sqref="A7:D7"/>
    </sheetView>
  </sheetViews>
  <sheetFormatPr defaultColWidth="9" defaultRowHeight="54.75"/>
  <cols>
    <col min="1" max="1" width="17.7109375" style="2" customWidth="1"/>
    <col min="2" max="2" width="8.5703125" style="5" customWidth="1"/>
    <col min="3" max="22" width="12.42578125" style="2" customWidth="1"/>
    <col min="23" max="23" width="9" style="4"/>
    <col min="24" max="16384" width="9" style="2"/>
  </cols>
  <sheetData>
    <row r="1" spans="1:23" ht="45.75" customHeight="1">
      <c r="A1" s="130" t="s">
        <v>0</v>
      </c>
      <c r="B1" s="130"/>
      <c r="C1" s="130"/>
      <c r="D1" s="130"/>
      <c r="R1" s="3"/>
      <c r="S1" s="130" t="s">
        <v>1</v>
      </c>
      <c r="T1" s="130"/>
      <c r="U1" s="130"/>
      <c r="V1" s="130"/>
      <c r="W1" s="4">
        <v>17</v>
      </c>
    </row>
    <row r="2" spans="1:23" ht="45" customHeight="1">
      <c r="A2" s="130" t="s">
        <v>2</v>
      </c>
      <c r="B2" s="130"/>
      <c r="C2" s="130"/>
      <c r="D2" s="130"/>
      <c r="R2" s="3"/>
      <c r="S2" s="130" t="s">
        <v>3</v>
      </c>
      <c r="T2" s="130"/>
      <c r="U2" s="130"/>
      <c r="V2" s="130"/>
      <c r="W2" s="4">
        <v>18</v>
      </c>
    </row>
    <row r="3" spans="1:23" ht="12.75" hidden="1" customHeight="1">
      <c r="A3" s="131"/>
      <c r="B3" s="131"/>
      <c r="C3" s="131"/>
      <c r="S3" s="70"/>
      <c r="T3" s="70"/>
      <c r="U3" s="70"/>
      <c r="V3" s="70"/>
    </row>
    <row r="4" spans="1:23" ht="30.75" customHeight="1">
      <c r="C4" s="6"/>
      <c r="D4" s="6"/>
      <c r="R4" s="7"/>
      <c r="S4" s="129">
        <f ca="1">NOW()</f>
        <v>40610.285379398149</v>
      </c>
      <c r="T4" s="129"/>
      <c r="U4" s="129"/>
      <c r="V4" s="129"/>
      <c r="W4" s="4">
        <v>19</v>
      </c>
    </row>
    <row r="5" spans="1:23" ht="40.5" customHeight="1">
      <c r="A5" s="8" t="s">
        <v>4</v>
      </c>
      <c r="B5" s="1">
        <v>64</v>
      </c>
      <c r="C5" s="123" t="str">
        <f>IF(B5=17,"31",IF(B5=18,"32",IF(B5=19,"33",IF(B5=20,"",IF(B5=21,"",IF(B5=37,"الاولى",IF(B5=38,"الثانية",IF(B5=39,"الثالثة",IF(B5=40,"الرابعة",IF(B5=41,"الخامسة",IF(B5=42,"السادسة",IF(B5=43,"السابعة",IF(B5=44,"الثامنة",IF(B5=45,"التاسعة",IF(B5=46,"العاشرة",IF(B5=47,"الحادية عشر",IF(B5=48,"الثانية عشر",IF(B5=49,"الثالثة عشر",IF(B5=50,"الرابعة عشر",IF(B5=51,"الخامسة عشر",IF(B5=61,"(  أ  )",IF(B5=62,"(  ب  )",IF(B5=63,"(  ج  )",IF(B5&gt;=64," ( د  )"))))))))))))))))))))))))</f>
        <v xml:space="preserve"> ( د  )</v>
      </c>
      <c r="D5" s="123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0"/>
      <c r="R5" s="10"/>
      <c r="S5" s="124">
        <f ca="1">NOW()</f>
        <v>40610.285379398149</v>
      </c>
      <c r="T5" s="124"/>
      <c r="U5" s="124"/>
      <c r="V5" s="124"/>
      <c r="W5" s="4">
        <v>20</v>
      </c>
    </row>
    <row r="6" spans="1:23" ht="40.5" customHeight="1">
      <c r="A6" s="8" t="s">
        <v>5</v>
      </c>
      <c r="B6" s="72" t="str">
        <f>IF(B5=36,"110",IF(B5=17,"100",IF(B5=18,"135",IF(B5=19,"180",IF(B5=20,"180",IF(B5=21,"180",IF(B5=37,"135",IF(B5=38,"155",IF(B5=39,"185",IF(B5=40,"215",IF(B5=41,"250",IF(B5=42,"285",IF(B5=43,"330",IF(B5=44,"380",IF(B5=45,"420",IF(B5=46,"460",IF(B5=47,"485",IF(B5=48,"515",IF(B5=49,"535",IF(B5=50,"615",IF(B5=51,"760",IF(B5=61,"105",IF(B5=62,"140",IF(B5=63,"175",IF(B5=64,"210")))))))))))))))))))))))))</f>
        <v>210</v>
      </c>
      <c r="C6" s="123" t="str">
        <f>IF(B5=17,"بند المستخدمين",IF(B5=18,"بند المستخدمين",IF(B5=19,"بند المستخدمين",IF(B5=20,"بند المستخدمين",IF(B5=21,"بند المستخدمين",IF(B5=37,"الموظفين",IF(B5=38,"الموظفين",IF(B5=39,"الموظفين",IF(B5=40,"الموظفين",IF(B5=41,"الموظفين",IF(B5=42,"الموظفين",IF(B5=43,"الموظفين",IF(B5=44,"الموظفين",IF(B5=45,"الموظفين",IF(B5=46,"الموظفين",IF(B5=47,"الموظفين",IF(B5=48,"الموظفين",IF(B5=49,"الموظفين",IF(B5=50,"الموظفين",IF(B5=51,"الممتازه",IF(B5=61,"بند العمال",IF(B5=62,"بند العمال",IF(B5=63,"بند العمال",IF(B5&gt;=64,"بند العمال"))))))))))))))))))))))))</f>
        <v>بند العمال</v>
      </c>
      <c r="D6" s="123"/>
      <c r="E6" s="125" t="str">
        <f>IF(B5=17,"بيان رواتب بند المستخدمين بمؤسسة البريد السعودي 1432هـ",IF(B5=18,"بيان رواتب بند المستخدمين بمؤسسة البريد السعودي 1432ه",IF(B5=19,"بيان رواتب بند المستخدمين بمؤسسة البريد السعودي 1432ه",IF(B5=20,"بيان رواتب بند المستخدمين بمؤسسة البريد السعودي 1432ه",IF(B5=21,"بيان رواتب بند المستخدمين بمؤسسة البريد السعودي 1432ه",IF(B5=37,"بيان رواتب موظفي مؤسسة البريد السعودي 1432ه",IF(B5=38,"بيان رواتب موظفي مؤسسة البريد السعودي 1432ه",IF(B5=39,"بيان رواتب موظفي مؤسسة البريد السعودي 1432ه",IF(B5=40,"بيان رواتب موظفي مؤسسة البريد السعودي 1432ه",IF(B5=41,"بيان رواتب موظفي مؤسسة البريد السعودي 1432ه",IF(B5=42,"بيان رواتب موظفي مؤسسة البريد السعودي 1432ه",IF(B5=43,"بيان رواتب موظفي مؤسسة البريد السعودي 1432ه",IF(B5=44,"بيان رواتب موظفي مؤسسة البريد السعودي 1432ه",IF(B5=45,"ببيان رواتب موظفي مؤسسة البريد السعودي 1432ه",IF(B5=46,"بيان رواتب موظفي مؤسسة البريد السعودي 1432ه",IF(B5=47,"بيان رواتب موظفي مؤسسة البريد السعودي 1432ه",IF(B5=48,"بيان رواتب موظفي مؤسسة البريد السعودي 1432ه",IF(B5=49,"بيان رواتب موظفي مؤسسة البريد السعودي 1432ه",IF(B5=50,"بيان رواتب موظفي مؤسسة البريد السعودي 1432ه",IF(B5=51,"بيان رواتب المرتبة الممتازه بمؤسسة البريد السعودي 1432ه",IF(B5=61,"بيان رواتب بند العمال بمؤسسة البريد السعودي 1432ه",IF(B5=62,"بيان برواتب بند العمال بمؤسسة البريد السعودي",IF(B5=63,"بيان رواتب بند العمال بمؤسسة البريد السعودي 1432ه",IF(B5&gt;=64,"بيان رواتب بند العمال بمؤسسة البريد السعودي 1432ه"))))))))))))))))))))))))</f>
        <v>بيان رواتب بند العمال بمؤسسة البريد السعودي 1432ه</v>
      </c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7">
        <f ca="1">NOW()</f>
        <v>40610.285379398149</v>
      </c>
      <c r="T6" s="127"/>
      <c r="U6" s="127"/>
      <c r="V6" s="127"/>
      <c r="W6" s="4">
        <v>21</v>
      </c>
    </row>
    <row r="7" spans="1:23" ht="40.5" customHeight="1" thickBot="1">
      <c r="A7" s="122" t="s">
        <v>23</v>
      </c>
      <c r="B7" s="122"/>
      <c r="C7" s="122"/>
      <c r="D7" s="122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8">
        <f ca="1">NOW()</f>
        <v>40610.285379398149</v>
      </c>
      <c r="T7" s="128"/>
      <c r="U7" s="128"/>
      <c r="V7" s="128"/>
      <c r="W7" s="4">
        <v>36</v>
      </c>
    </row>
    <row r="8" spans="1:23" ht="40.5" customHeight="1" thickTop="1" thickBot="1">
      <c r="A8" s="112" t="s">
        <v>6</v>
      </c>
      <c r="B8" s="113"/>
      <c r="C8" s="73">
        <v>1</v>
      </c>
      <c r="D8" s="74">
        <v>2</v>
      </c>
      <c r="E8" s="74">
        <v>3</v>
      </c>
      <c r="F8" s="74">
        <v>4</v>
      </c>
      <c r="G8" s="74">
        <v>5</v>
      </c>
      <c r="H8" s="74">
        <v>6</v>
      </c>
      <c r="I8" s="74">
        <v>7</v>
      </c>
      <c r="J8" s="74">
        <v>8</v>
      </c>
      <c r="K8" s="74">
        <v>9</v>
      </c>
      <c r="L8" s="74">
        <v>10</v>
      </c>
      <c r="M8" s="74">
        <v>11</v>
      </c>
      <c r="N8" s="74">
        <v>12</v>
      </c>
      <c r="O8" s="74">
        <f>IF(B5&lt;=50,13,IF(B5&gt;=60,13,IF(B5&gt;=48,"")))</f>
        <v>13</v>
      </c>
      <c r="P8" s="74">
        <f>IF(B5&lt;=49,14,IF(B5&gt;=60,14,IF(B5&gt;=48,"")))</f>
        <v>14</v>
      </c>
      <c r="Q8" s="74">
        <f>IF(B5&lt;=48,15,IF(B5&gt;=60,15,IF(B5&gt;=48,"")))</f>
        <v>15</v>
      </c>
      <c r="R8" s="74" t="str">
        <f>IF(B5&lt;48,16,"")</f>
        <v/>
      </c>
      <c r="S8" s="74" t="str">
        <f>IF(B5&gt;=47,"","17 ")</f>
        <v/>
      </c>
      <c r="T8" s="74" t="str">
        <f>IF(B5&lt;20,18,"")</f>
        <v/>
      </c>
      <c r="U8" s="74" t="str">
        <f>IF(B5&lt;19,19,"")</f>
        <v/>
      </c>
      <c r="V8" s="75" t="str">
        <f>IF(B5&lt;19,20,"")</f>
        <v/>
      </c>
      <c r="W8" s="4">
        <v>37</v>
      </c>
    </row>
    <row r="9" spans="1:23" ht="40.5" customHeight="1" thickTop="1">
      <c r="A9" s="114" t="s">
        <v>7</v>
      </c>
      <c r="B9" s="115"/>
      <c r="C9" s="76" t="str">
        <f>IF(B5&lt;=17,"1430",IF(B5=18,"1815",IF(B5=19,"2620",IF(B5=20,"3295",IF(B5=21,"3975",IF(B5=37,"2195",IF(B5=38,"2680",IF(B5=39,"3125",IF(B5=40,"3585",IF(B5=41,"4230",IF(B5=42,"4970",IF(B5=43,"5835",IF(B5=44,"6755",IF(B5=45,"7890",IF(B5=46,"8800",IF(B5=47,"10155",IF(B5=48,"11575",IF(B5=49,"13125",IF(B5=50,"14200",IF(B5=51,"17595",IF(B5=61,"1485",IF(B5=62,"1970",IF(B5=63,"2600",IF(B5&gt;=64,"3355"))))))))))))))))))))))))</f>
        <v>3355</v>
      </c>
      <c r="D9" s="77">
        <f>C9+B6</f>
        <v>3565</v>
      </c>
      <c r="E9" s="77">
        <f>D9+B6</f>
        <v>3775</v>
      </c>
      <c r="F9" s="77">
        <f>E9+B6</f>
        <v>3985</v>
      </c>
      <c r="G9" s="77">
        <f>F9+B6</f>
        <v>4195</v>
      </c>
      <c r="H9" s="77">
        <f>G9+B6</f>
        <v>4405</v>
      </c>
      <c r="I9" s="77">
        <f>H9+B6</f>
        <v>4615</v>
      </c>
      <c r="J9" s="77">
        <f>I9+B6</f>
        <v>4825</v>
      </c>
      <c r="K9" s="77">
        <f>J9+B6</f>
        <v>5035</v>
      </c>
      <c r="L9" s="77">
        <f>K9+B6</f>
        <v>5245</v>
      </c>
      <c r="M9" s="77">
        <f>L9+B6</f>
        <v>5455</v>
      </c>
      <c r="N9" s="77">
        <f>M9+B6</f>
        <v>5665</v>
      </c>
      <c r="O9" s="77">
        <f>IF(B5&lt;=50,N9+B6,IF(B5&gt;=60,N9+B6,IF(B5&gt;=48,"")))</f>
        <v>5875</v>
      </c>
      <c r="P9" s="77">
        <f>IF(B5&lt;=49,O9+B6,IF(B5&gt;=60,O9+B6,IF(B5&gt;=48,"")))</f>
        <v>6085</v>
      </c>
      <c r="Q9" s="77">
        <f>IF(B5&lt;=48,P9+B6,IF(B5&gt;=60,P9+B6,IF(B5&gt;=48,"")))</f>
        <v>6295</v>
      </c>
      <c r="R9" s="77" t="str">
        <f>IF(B5&lt;48,Q9+B6,"")</f>
        <v/>
      </c>
      <c r="S9" s="77" t="str">
        <f>IF(B5&lt;47,R9+B6,"")</f>
        <v/>
      </c>
      <c r="T9" s="77" t="str">
        <f>IF(B5&lt;20,S9+B6,"")</f>
        <v/>
      </c>
      <c r="U9" s="77" t="str">
        <f>IF(B5&lt;19,T9+B6,"")</f>
        <v/>
      </c>
      <c r="V9" s="78" t="str">
        <f>IF(B5&lt;19,U9+B6,"")</f>
        <v/>
      </c>
      <c r="W9" s="4">
        <v>38</v>
      </c>
    </row>
    <row r="10" spans="1:23" ht="40.5" customHeight="1">
      <c r="A10" s="79" t="s">
        <v>8</v>
      </c>
      <c r="B10" s="80">
        <v>0.15</v>
      </c>
      <c r="C10" s="81">
        <f>C9*B10</f>
        <v>503.25</v>
      </c>
      <c r="D10" s="45">
        <f>D9*B10</f>
        <v>534.75</v>
      </c>
      <c r="E10" s="45">
        <f>E9*B10</f>
        <v>566.25</v>
      </c>
      <c r="F10" s="45">
        <f>F9*B10</f>
        <v>597.75</v>
      </c>
      <c r="G10" s="45">
        <f>G9*B10</f>
        <v>629.25</v>
      </c>
      <c r="H10" s="45">
        <f>H9*B10</f>
        <v>660.75</v>
      </c>
      <c r="I10" s="45">
        <f>I9*B10</f>
        <v>692.25</v>
      </c>
      <c r="J10" s="45">
        <f>J9*B10</f>
        <v>723.75</v>
      </c>
      <c r="K10" s="45">
        <f>K9*B10</f>
        <v>755.25</v>
      </c>
      <c r="L10" s="45">
        <f>L9*B10</f>
        <v>786.75</v>
      </c>
      <c r="M10" s="45">
        <f>M9*B10</f>
        <v>818.25</v>
      </c>
      <c r="N10" s="45">
        <f>N9*B10</f>
        <v>849.75</v>
      </c>
      <c r="O10" s="45">
        <f>IF(B5&lt;=50,O9*B10,IF(B5&gt;=60,O9*B10,IF(B5&gt;=48,"")))</f>
        <v>881.25</v>
      </c>
      <c r="P10" s="45">
        <f>IF(B5&lt;=49,P9*B10,IF(B5&gt;=60,P9*B10,IF(B5&gt;=48,"")))</f>
        <v>912.75</v>
      </c>
      <c r="Q10" s="45">
        <f>IF(B5&lt;=48,Q9*B10,IF(B5&gt;=60,Q9*B10,IF(B5&gt;=48,"")))</f>
        <v>944.25</v>
      </c>
      <c r="R10" s="45" t="str">
        <f>IF(B5&lt;48,R9*B10,"")</f>
        <v/>
      </c>
      <c r="S10" s="45" t="str">
        <f>IF(B5&lt;47,S9*B10,"")</f>
        <v/>
      </c>
      <c r="T10" s="45" t="str">
        <f>IF(B5&lt;20,T9*B10,"")</f>
        <v/>
      </c>
      <c r="U10" s="45" t="str">
        <f>IF(B5&lt;19,U9*B10,"")</f>
        <v/>
      </c>
      <c r="V10" s="46" t="str">
        <f>IF(B5&lt;19,V9*B10,"")</f>
        <v/>
      </c>
      <c r="W10" s="4">
        <v>39</v>
      </c>
    </row>
    <row r="11" spans="1:23" ht="40.5" customHeight="1">
      <c r="A11" s="79" t="s">
        <v>22</v>
      </c>
      <c r="B11" s="82">
        <v>0</v>
      </c>
      <c r="C11" s="81">
        <f>C9*B11</f>
        <v>0</v>
      </c>
      <c r="D11" s="45">
        <f>D9*B11</f>
        <v>0</v>
      </c>
      <c r="E11" s="45">
        <f>E9*B11</f>
        <v>0</v>
      </c>
      <c r="F11" s="45">
        <f>F9*B11</f>
        <v>0</v>
      </c>
      <c r="G11" s="45">
        <f>G9*B11</f>
        <v>0</v>
      </c>
      <c r="H11" s="45">
        <f>H9*B11</f>
        <v>0</v>
      </c>
      <c r="I11" s="45">
        <f>I9*B11</f>
        <v>0</v>
      </c>
      <c r="J11" s="45">
        <f>J9*B11</f>
        <v>0</v>
      </c>
      <c r="K11" s="45">
        <f>K9*B11</f>
        <v>0</v>
      </c>
      <c r="L11" s="45">
        <f>L9*B11</f>
        <v>0</v>
      </c>
      <c r="M11" s="45">
        <f>M9*B11</f>
        <v>0</v>
      </c>
      <c r="N11" s="45">
        <f>N9*B11</f>
        <v>0</v>
      </c>
      <c r="O11" s="45">
        <f>IF(B5&lt;=50,O9*B11,IF(B5&gt;=60,O9*B11,IF(B5&gt;=48,"")))</f>
        <v>0</v>
      </c>
      <c r="P11" s="45">
        <f>IF(B5&lt;=49,P9*B11,IF(B5&gt;=60,P9*B11,IF(B5&gt;=48,"")))</f>
        <v>0</v>
      </c>
      <c r="Q11" s="45">
        <f>IF(B5&lt;=48,Q9*B11,IF(B5&gt;=60,Q9*B11,IF(B5&gt;=48,"")))</f>
        <v>0</v>
      </c>
      <c r="R11" s="45" t="str">
        <f>IF(B5&lt;48,R9*B11,"")</f>
        <v/>
      </c>
      <c r="S11" s="45" t="str">
        <f>IF(B5&lt;47,S9*B11,"")</f>
        <v/>
      </c>
      <c r="T11" s="45" t="str">
        <f>IF(B5&lt;20,T9*B11,"")</f>
        <v/>
      </c>
      <c r="U11" s="45" t="str">
        <f>IF(B5&lt;19,U9*B11,"")</f>
        <v/>
      </c>
      <c r="V11" s="46" t="str">
        <f>IF(B5&lt;19,V9*B11,"")</f>
        <v/>
      </c>
      <c r="W11" s="4">
        <v>40</v>
      </c>
    </row>
    <row r="12" spans="1:23" ht="40.5" customHeight="1">
      <c r="A12" s="79" t="s">
        <v>9</v>
      </c>
      <c r="B12" s="83" t="str">
        <f>IF(B5&lt;=41,"400",IF(B5&gt;=51,"400",IF(B5&gt;=42,"600")))</f>
        <v>400</v>
      </c>
      <c r="C12" s="81" t="str">
        <f>B12</f>
        <v>400</v>
      </c>
      <c r="D12" s="45" t="str">
        <f>B12</f>
        <v>400</v>
      </c>
      <c r="E12" s="45" t="str">
        <f>B12</f>
        <v>400</v>
      </c>
      <c r="F12" s="45" t="str">
        <f>B12</f>
        <v>400</v>
      </c>
      <c r="G12" s="45" t="str">
        <f>B12</f>
        <v>400</v>
      </c>
      <c r="H12" s="45" t="str">
        <f>B12</f>
        <v>400</v>
      </c>
      <c r="I12" s="45" t="str">
        <f>B12</f>
        <v>400</v>
      </c>
      <c r="J12" s="45" t="str">
        <f>B12</f>
        <v>400</v>
      </c>
      <c r="K12" s="45" t="str">
        <f>B12</f>
        <v>400</v>
      </c>
      <c r="L12" s="45" t="str">
        <f>B12</f>
        <v>400</v>
      </c>
      <c r="M12" s="45" t="str">
        <f>B12</f>
        <v>400</v>
      </c>
      <c r="N12" s="45" t="str">
        <f>B12</f>
        <v>400</v>
      </c>
      <c r="O12" s="45" t="str">
        <f>IF(B5&lt;=50,B12,IF(B5&gt;=60,B12,IF(B5&gt;=48,"")))</f>
        <v>400</v>
      </c>
      <c r="P12" s="45" t="str">
        <f>IF(B5&lt;=49,B12,IF(B5&gt;=60,B12,IF(B5&gt;=48,"")))</f>
        <v>400</v>
      </c>
      <c r="Q12" s="45" t="str">
        <f>IF(B5&lt;=48,B12,IF(B5&gt;=60,B12,IF(B5&gt;=48,"")))</f>
        <v>400</v>
      </c>
      <c r="R12" s="45" t="str">
        <f>IF(B5&lt;48,B12,"")</f>
        <v/>
      </c>
      <c r="S12" s="45" t="str">
        <f>IF(B5&lt;47,B12,"")</f>
        <v/>
      </c>
      <c r="T12" s="45" t="str">
        <f>IF(B5&lt;20,B12,"")</f>
        <v/>
      </c>
      <c r="U12" s="45" t="str">
        <f>IF(B5&lt;19,B12,"")</f>
        <v/>
      </c>
      <c r="V12" s="46" t="str">
        <f>IF(B5&lt;19,B12,"")</f>
        <v/>
      </c>
      <c r="W12" s="4">
        <v>41</v>
      </c>
    </row>
    <row r="13" spans="1:23" ht="40.5" customHeight="1">
      <c r="A13" s="79" t="s">
        <v>10</v>
      </c>
      <c r="B13" s="80">
        <v>-0.09</v>
      </c>
      <c r="C13" s="81">
        <f>C9*B13</f>
        <v>-301.95</v>
      </c>
      <c r="D13" s="45">
        <f>D9*B13</f>
        <v>-320.84999999999997</v>
      </c>
      <c r="E13" s="45">
        <f>E9*B13</f>
        <v>-339.75</v>
      </c>
      <c r="F13" s="45">
        <f>F9*B13</f>
        <v>-358.65</v>
      </c>
      <c r="G13" s="45">
        <f>G9*B13</f>
        <v>-377.55</v>
      </c>
      <c r="H13" s="45">
        <f>H9*B13</f>
        <v>-396.45</v>
      </c>
      <c r="I13" s="45">
        <f>I9*B13</f>
        <v>-415.34999999999997</v>
      </c>
      <c r="J13" s="45">
        <f>J9*B13</f>
        <v>-434.25</v>
      </c>
      <c r="K13" s="45">
        <f>K9*B13</f>
        <v>-453.15</v>
      </c>
      <c r="L13" s="45">
        <f>L9*B13</f>
        <v>-472.04999999999995</v>
      </c>
      <c r="M13" s="45">
        <f>M9*B13</f>
        <v>-490.95</v>
      </c>
      <c r="N13" s="45">
        <f>N9*B13</f>
        <v>-509.84999999999997</v>
      </c>
      <c r="O13" s="45">
        <f>IF(B5&lt;=50,O9*B13,IF(B5&gt;=60,O9*B13,IF(B5&gt;=48,"")))</f>
        <v>-528.75</v>
      </c>
      <c r="P13" s="45">
        <f>IF(B5&lt;=49,P9*B13,IF(B5&gt;=60,P9*B13,IF(B5&gt;=48,"")))</f>
        <v>-547.65</v>
      </c>
      <c r="Q13" s="45">
        <f>IF(B5&lt;=48,Q9*B13,IF(B5&gt;=60,Q9*B13,IF(B5&gt;=48,"")))</f>
        <v>-566.54999999999995</v>
      </c>
      <c r="R13" s="45" t="str">
        <f>IF(B5&lt;48,R9*B13,"")</f>
        <v/>
      </c>
      <c r="S13" s="45" t="str">
        <f>IF(B5&lt;47,S9*B13,"")</f>
        <v/>
      </c>
      <c r="T13" s="45" t="str">
        <f>IF(B5&lt;20,T9*B13,"")</f>
        <v/>
      </c>
      <c r="U13" s="45" t="str">
        <f>IF(B5&lt;19,U9*B13,"")</f>
        <v/>
      </c>
      <c r="V13" s="46" t="str">
        <f>IF(B5&lt;19,V9*B13,"")</f>
        <v/>
      </c>
      <c r="W13" s="4">
        <v>42</v>
      </c>
    </row>
    <row r="14" spans="1:23" ht="40.5" customHeight="1">
      <c r="A14" s="79" t="s">
        <v>11</v>
      </c>
      <c r="B14" s="80">
        <v>0.2</v>
      </c>
      <c r="C14" s="81">
        <f>C9*B14</f>
        <v>671</v>
      </c>
      <c r="D14" s="45">
        <f>D9*B14</f>
        <v>713</v>
      </c>
      <c r="E14" s="45">
        <f>E9*B14</f>
        <v>755</v>
      </c>
      <c r="F14" s="45">
        <f>F9*B14</f>
        <v>797</v>
      </c>
      <c r="G14" s="45">
        <f>G9*B14</f>
        <v>839</v>
      </c>
      <c r="H14" s="45">
        <f>H9*B14</f>
        <v>881</v>
      </c>
      <c r="I14" s="45">
        <f>I9*B14</f>
        <v>923</v>
      </c>
      <c r="J14" s="45">
        <f>J9*B14</f>
        <v>965</v>
      </c>
      <c r="K14" s="45">
        <f>K9*B14</f>
        <v>1007</v>
      </c>
      <c r="L14" s="45">
        <f>L9*B14</f>
        <v>1049</v>
      </c>
      <c r="M14" s="45">
        <f>M9*B14</f>
        <v>1091</v>
      </c>
      <c r="N14" s="45">
        <f>N9*B14</f>
        <v>1133</v>
      </c>
      <c r="O14" s="45">
        <f>IF(B5&lt;=50,O9*B14,IF(B5&gt;=60,O9*B14,IF(B5&gt;=48,"")))</f>
        <v>1175</v>
      </c>
      <c r="P14" s="45">
        <f>IF(B5&lt;=49,P9*B14,IF(B5&gt;=60,P9*B14,IF(B5&gt;=48,"")))</f>
        <v>1217</v>
      </c>
      <c r="Q14" s="45">
        <f>IF(B5&lt;=48,Q9*B14,IF(B5&gt;=60,Q9*B14,IF(B5&gt;=48,"")))</f>
        <v>1259</v>
      </c>
      <c r="R14" s="45" t="str">
        <f>IF(B5&lt;48,R9*B14,"")</f>
        <v/>
      </c>
      <c r="S14" s="45" t="str">
        <f>IF(B5&lt;47,S9*B14,"")</f>
        <v/>
      </c>
      <c r="T14" s="45" t="str">
        <f>IF(B5&lt;20,T9*B14,"")</f>
        <v/>
      </c>
      <c r="U14" s="45" t="str">
        <f>IF(B5&lt;19,U9*B14,"")</f>
        <v/>
      </c>
      <c r="V14" s="46" t="str">
        <f>IF(B5&lt;19,V9*B14,"")</f>
        <v/>
      </c>
      <c r="W14" s="4">
        <v>43</v>
      </c>
    </row>
    <row r="15" spans="1:23" ht="40.5" customHeight="1">
      <c r="A15" s="79" t="s">
        <v>15</v>
      </c>
      <c r="B15" s="84"/>
      <c r="C15" s="81" t="str">
        <f>IF(B15=0,"0",C9*B15)</f>
        <v>0</v>
      </c>
      <c r="D15" s="45">
        <f>IF(C15=0,"0",D9*B15)</f>
        <v>0</v>
      </c>
      <c r="E15" s="45" t="str">
        <f>IF(D15=0,"0",E9*B15)</f>
        <v>0</v>
      </c>
      <c r="F15" s="45">
        <f>IF(E15=0,"0",F9*B15)</f>
        <v>0</v>
      </c>
      <c r="G15" s="45" t="str">
        <f>IF(F15=0,"0",G9*B15)</f>
        <v>0</v>
      </c>
      <c r="H15" s="45">
        <f>IF(G15=0,"0",H9*B15)</f>
        <v>0</v>
      </c>
      <c r="I15" s="45" t="str">
        <f>IF(H15=0,"0",I9*B15)</f>
        <v>0</v>
      </c>
      <c r="J15" s="45">
        <f>IF(I15=0,"0",J9*B15)</f>
        <v>0</v>
      </c>
      <c r="K15" s="45" t="str">
        <f>IF(J15=0,"0",K9*B15)</f>
        <v>0</v>
      </c>
      <c r="L15" s="45">
        <f>IF(K15=0,"0",L9*B15)</f>
        <v>0</v>
      </c>
      <c r="M15" s="45" t="str">
        <f>IF(L15=0,"0",M9*B15)</f>
        <v>0</v>
      </c>
      <c r="N15" s="45">
        <f>IF(M15=0,"",N9*B15)</f>
        <v>0</v>
      </c>
      <c r="O15" s="45">
        <f>IF(B5&lt;=50,O9*B15,IF(B5&gt;=60,O9*B15,IF(B5&gt;=48,"")))</f>
        <v>0</v>
      </c>
      <c r="P15" s="45">
        <f>IF(B5&lt;=49,P9*B15,IF(B5&gt;=60,P9*B15,IF(B5&gt;=48,"")))</f>
        <v>0</v>
      </c>
      <c r="Q15" s="45">
        <f>IF(B5&lt;=48,Q9*B15,IF(B5&gt;=60,Q9*B15,IF(B5&gt;=48,"")))</f>
        <v>0</v>
      </c>
      <c r="R15" s="45" t="str">
        <f>IF(B5&lt;48,R9*B15,"")</f>
        <v/>
      </c>
      <c r="S15" s="45" t="str">
        <f>IF(B5&lt;47,S9*B15,"")</f>
        <v/>
      </c>
      <c r="T15" s="45" t="str">
        <f>IF(B5&lt;20,T9*B15,"")</f>
        <v/>
      </c>
      <c r="U15" s="45" t="str">
        <f>IF(B5&lt;19,U9*B15,"")</f>
        <v/>
      </c>
      <c r="V15" s="46" t="str">
        <f>IF(B5&lt;19,V9*B15,"")</f>
        <v/>
      </c>
      <c r="W15" s="4">
        <v>44</v>
      </c>
    </row>
    <row r="16" spans="1:23" ht="40.5" customHeight="1" thickBot="1">
      <c r="A16" s="85" t="s">
        <v>12</v>
      </c>
      <c r="B16" s="86">
        <v>2</v>
      </c>
      <c r="C16" s="87">
        <f>C9*B16</f>
        <v>6710</v>
      </c>
      <c r="D16" s="88">
        <f>D9*B16</f>
        <v>7130</v>
      </c>
      <c r="E16" s="88">
        <f>E9*B16</f>
        <v>7550</v>
      </c>
      <c r="F16" s="88">
        <f>F9*B16</f>
        <v>7970</v>
      </c>
      <c r="G16" s="88">
        <f>G9*B16</f>
        <v>8390</v>
      </c>
      <c r="H16" s="88">
        <f>H9*B16</f>
        <v>8810</v>
      </c>
      <c r="I16" s="88">
        <f>I9*B16</f>
        <v>9230</v>
      </c>
      <c r="J16" s="88">
        <f>J9*B16</f>
        <v>9650</v>
      </c>
      <c r="K16" s="88">
        <f>K9*B16</f>
        <v>10070</v>
      </c>
      <c r="L16" s="88">
        <f>L9*B16</f>
        <v>10490</v>
      </c>
      <c r="M16" s="88">
        <f>M9*B16</f>
        <v>10910</v>
      </c>
      <c r="N16" s="88">
        <f>N9*B16</f>
        <v>11330</v>
      </c>
      <c r="O16" s="88">
        <f>IF(B5&lt;=50,O9*B16,IF(B5&gt;=60,O9*B16,IF(B5&gt;=48,"")))</f>
        <v>11750</v>
      </c>
      <c r="P16" s="88">
        <f>IF(B5&lt;=49,P9*B16,IF(B5&gt;=60,P9*B16,IF(B5&gt;=48,"")))</f>
        <v>12170</v>
      </c>
      <c r="Q16" s="88">
        <f>IF(B5&lt;=48,Q9*B16,IF(B5&gt;=60,Q9*B16,IF(B5&gt;=48,"")))</f>
        <v>12590</v>
      </c>
      <c r="R16" s="88" t="str">
        <f>IF(B5&lt;48,R9*B16,"")</f>
        <v/>
      </c>
      <c r="S16" s="88" t="str">
        <f>IF(B5&lt;47,S9*B16,"")</f>
        <v/>
      </c>
      <c r="T16" s="88" t="str">
        <f>IF(B5&lt;20,T9*B16,"")</f>
        <v/>
      </c>
      <c r="U16" s="88" t="str">
        <f>IF(B5&lt;19,U9*B16,"")</f>
        <v/>
      </c>
      <c r="V16" s="89" t="str">
        <f>IF(B5&lt;19,V9*B16,"")</f>
        <v/>
      </c>
      <c r="W16" s="4">
        <v>45</v>
      </c>
    </row>
    <row r="17" spans="1:23" ht="40.5" customHeight="1" thickTop="1">
      <c r="A17" s="116" t="s">
        <v>13</v>
      </c>
      <c r="B17" s="117"/>
      <c r="C17" s="90" t="str">
        <f>IF(B15=0,"",(C15/12)+C18)</f>
        <v/>
      </c>
      <c r="D17" s="91" t="str">
        <f>IF(B15=0,"",(D15/12)+D18)</f>
        <v/>
      </c>
      <c r="E17" s="91" t="str">
        <f>IF(B15=0,"",(E15/12)+E18)</f>
        <v/>
      </c>
      <c r="F17" s="91" t="str">
        <f>IF(B15=0,"",(F15/12)+F18)</f>
        <v/>
      </c>
      <c r="G17" s="91" t="str">
        <f>IF(B15=0,"",(G15/12)+G18)</f>
        <v/>
      </c>
      <c r="H17" s="91" t="str">
        <f>IF(B15=0,"",(H15/12)+H18)</f>
        <v/>
      </c>
      <c r="I17" s="91" t="str">
        <f>IF(B15=0,"",(I15/12)+I18)</f>
        <v/>
      </c>
      <c r="J17" s="91" t="str">
        <f>IF(B15=0,"",(J15/12)+J18)</f>
        <v/>
      </c>
      <c r="K17" s="91" t="str">
        <f>IF(B15=0,"",(K15/12)+K18)</f>
        <v/>
      </c>
      <c r="L17" s="91" t="str">
        <f>IF(B15=0,"",(L15/12)+L18)</f>
        <v/>
      </c>
      <c r="M17" s="91" t="str">
        <f>IF(B15=0,"",(M15/12)+M18)</f>
        <v/>
      </c>
      <c r="N17" s="91" t="str">
        <f>IF(B15=0,"",(N15/12)+N18)</f>
        <v/>
      </c>
      <c r="O17" s="91" t="str">
        <f>IF(B15&gt;0,O15/12+O18,"")</f>
        <v/>
      </c>
      <c r="P17" s="91" t="str">
        <f>IF(B15&gt;0,P15/12+P18,"")</f>
        <v/>
      </c>
      <c r="Q17" s="91" t="str">
        <f>IF(B15&gt;0,Q15/12+Q18,"")</f>
        <v/>
      </c>
      <c r="R17" s="91" t="str">
        <f>IF(B15&gt;0,(R15/12)+R18,"")</f>
        <v/>
      </c>
      <c r="S17" s="91" t="str">
        <f>IF(B15&gt;0,(S15/12)+S18,"")</f>
        <v/>
      </c>
      <c r="T17" s="91" t="str">
        <f>IF(B15&gt;0,(T15/12)+T18,"")</f>
        <v/>
      </c>
      <c r="U17" s="91" t="str">
        <f>IF(B15&gt;0,(U15/12)+U18,"")</f>
        <v/>
      </c>
      <c r="V17" s="92" t="str">
        <f>IF(B15&gt;0,(V15/12)+V18,"")</f>
        <v/>
      </c>
      <c r="W17" s="4">
        <v>46</v>
      </c>
    </row>
    <row r="18" spans="1:23" ht="40.5" customHeight="1" thickBot="1">
      <c r="A18" s="118" t="s">
        <v>14</v>
      </c>
      <c r="B18" s="119"/>
      <c r="C18" s="93">
        <f>C9+C10+C11+C12+C13+C14</f>
        <v>4627.3</v>
      </c>
      <c r="D18" s="94">
        <f t="shared" ref="D18:N18" si="0">D9+D10+D11+D12+D13+D14</f>
        <v>4891.8999999999996</v>
      </c>
      <c r="E18" s="94">
        <f t="shared" si="0"/>
        <v>5156.5</v>
      </c>
      <c r="F18" s="94">
        <f t="shared" si="0"/>
        <v>5421.1</v>
      </c>
      <c r="G18" s="94">
        <f t="shared" si="0"/>
        <v>5685.7</v>
      </c>
      <c r="H18" s="94">
        <f t="shared" si="0"/>
        <v>5950.3</v>
      </c>
      <c r="I18" s="94">
        <f t="shared" si="0"/>
        <v>6214.9</v>
      </c>
      <c r="J18" s="94">
        <f t="shared" si="0"/>
        <v>6479.5</v>
      </c>
      <c r="K18" s="94">
        <f t="shared" si="0"/>
        <v>6744.1</v>
      </c>
      <c r="L18" s="94">
        <f t="shared" si="0"/>
        <v>7008.7</v>
      </c>
      <c r="M18" s="94">
        <f t="shared" si="0"/>
        <v>7273.3</v>
      </c>
      <c r="N18" s="94">
        <f t="shared" si="0"/>
        <v>7537.9</v>
      </c>
      <c r="O18" s="94">
        <f>IF(B5&lt;=50,O9+O10+O11+O12+O13+O14,IF(B5&gt;=60,O9+O10+O11+O12+O13+O14,IF(B5&gt;=48,"")))</f>
        <v>7802.5</v>
      </c>
      <c r="P18" s="94">
        <f>IF(B5&lt;=49,P9+P10+P11+P12+P13+P14,IF(B5&gt;=60,P9+P10+P11+P12+P13+P14,IF(B5&gt;=48,"")))</f>
        <v>8067.1</v>
      </c>
      <c r="Q18" s="94">
        <f>IF(B5&lt;=48,Q9+Q10+Q11+Q12+Q13+Q14,IF(B5&gt;=60,Q9+Q10+Q11+Q12+Q13+Q14,IF(B5&gt;=48,"")))</f>
        <v>8331.7000000000007</v>
      </c>
      <c r="R18" s="94" t="str">
        <f>IF(B5&lt;48,R9+R10+R11+R12+R13+R14,"")</f>
        <v/>
      </c>
      <c r="S18" s="94" t="str">
        <f>IF(B5&lt;47,S9+S10+S11+S12+S13+S14,"")</f>
        <v/>
      </c>
      <c r="T18" s="94" t="str">
        <f>IF(B5&lt;20,T9+T10+T11+T12+T13+T14,"")</f>
        <v/>
      </c>
      <c r="U18" s="94" t="str">
        <f>IF(B5&lt;19,U9+U10+U11+U12+U13+U14,"")</f>
        <v/>
      </c>
      <c r="V18" s="95" t="str">
        <f>IF(B5&lt;19,V9+V10+V11+V12+V13+V14,"")</f>
        <v/>
      </c>
      <c r="W18" s="4">
        <v>47</v>
      </c>
    </row>
    <row r="19" spans="1:23" s="13" customFormat="1" ht="40.5" customHeight="1" thickTop="1">
      <c r="A19" s="120" t="s">
        <v>16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4">
        <v>48</v>
      </c>
    </row>
    <row r="20" spans="1:23" s="13" customFormat="1" ht="40.5" customHeight="1">
      <c r="A20" s="11"/>
      <c r="B20" s="12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W20" s="4">
        <v>49</v>
      </c>
    </row>
    <row r="21" spans="1:23" s="13" customFormat="1" ht="40.5" customHeight="1">
      <c r="A21" s="11"/>
      <c r="B21" s="12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W21" s="4">
        <v>50</v>
      </c>
    </row>
    <row r="22" spans="1:23" s="13" customFormat="1">
      <c r="A22" s="11"/>
      <c r="B22" s="12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W22" s="4">
        <v>51</v>
      </c>
    </row>
    <row r="23" spans="1:23">
      <c r="W23" s="4">
        <v>61</v>
      </c>
    </row>
    <row r="24" spans="1:23">
      <c r="W24" s="4">
        <v>62</v>
      </c>
    </row>
    <row r="25" spans="1:23">
      <c r="W25" s="4">
        <v>63</v>
      </c>
    </row>
    <row r="26" spans="1:23">
      <c r="W26" s="4">
        <v>64</v>
      </c>
    </row>
  </sheetData>
  <sheetProtection password="CCDF" sheet="1" objects="1" scenarios="1"/>
  <protectedRanges>
    <protectedRange password="CAE1" sqref="B16" name="مكافأت رمضان"/>
    <protectedRange password="DD06" sqref="B14" name="علاوة"/>
    <protectedRange password="8E16" sqref="B13" name="التقاعد"/>
  </protectedRanges>
  <mergeCells count="18">
    <mergeCell ref="S4:V4"/>
    <mergeCell ref="A1:D1"/>
    <mergeCell ref="S1:V1"/>
    <mergeCell ref="A2:D2"/>
    <mergeCell ref="S2:V2"/>
    <mergeCell ref="A3:C3"/>
    <mergeCell ref="A7:D7"/>
    <mergeCell ref="C5:D5"/>
    <mergeCell ref="S5:V5"/>
    <mergeCell ref="C6:D6"/>
    <mergeCell ref="E6:R7"/>
    <mergeCell ref="S6:V6"/>
    <mergeCell ref="S7:V7"/>
    <mergeCell ref="A8:B8"/>
    <mergeCell ref="A9:B9"/>
    <mergeCell ref="A17:B17"/>
    <mergeCell ref="A18:B18"/>
    <mergeCell ref="A19:V19"/>
  </mergeCells>
  <conditionalFormatting sqref="C9:V14 C16:V18">
    <cfRule type="cellIs" dxfId="13" priority="2" operator="lessThan">
      <formula>0</formula>
    </cfRule>
    <cfRule type="cellIs" dxfId="12" priority="3" operator="greaterThan">
      <formula>0</formula>
    </cfRule>
  </conditionalFormatting>
  <conditionalFormatting sqref="C15:V15">
    <cfRule type="cellIs" dxfId="11" priority="1" operator="greaterThan">
      <formula>0</formula>
    </cfRule>
  </conditionalFormatting>
  <dataValidations count="1">
    <dataValidation type="list" errorStyle="information" showDropDown="1" showInputMessage="1" showErrorMessage="1" errorTitle="مراتب موظفي مؤسسة البريد السعودي" error="الموظفين_x000a_من 36  حتى 51_x000a__x000a_المستخدمين_x000a_من 17  حتى 21_x000a__x000a_بند العمال_x000a_من 61  حتى 64" promptTitle="ادخل المرتبة حسب التالي" prompt="    الموظفين_x000a_من 36  حتى 51_x000a__x000a_   المستخدمين_x000a_من 17  حتى 21_x000a__x000a_    بند الاجور_x000a_من 61  حتى 64" sqref="B5">
      <formula1>$W$1:$W$26</formula1>
    </dataValidation>
  </dataValidations>
  <hyperlinks>
    <hyperlink ref="A19" r:id="rId1"/>
    <hyperlink ref="A7:D7" location="'سلم رواتب موظفي ومستخدمي وعمال '!A1" tooltip="الانتقال للسلم الجديد" display="'سلم رواتب موظفي ومستخدمي وعمال '!A1"/>
  </hyperlink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50" orientation="landscape" blackAndWhite="1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0"/>
    <pageSetUpPr fitToPage="1"/>
  </sheetPr>
  <dimension ref="A1:V16"/>
  <sheetViews>
    <sheetView showGridLines="0" showRowColHeaders="0" showZeros="0" rightToLeft="1" showOutlineSymbols="0" zoomScale="45" zoomScaleNormal="45" workbookViewId="0">
      <pane xSplit="19" ySplit="15" topLeftCell="T16" activePane="bottomRight" state="frozen"/>
      <selection pane="topRight" activeCell="T1" sqref="T1"/>
      <selection pane="bottomLeft" activeCell="A16" sqref="A16"/>
      <selection pane="bottomRight" activeCell="A6" sqref="A6:C6"/>
    </sheetView>
  </sheetViews>
  <sheetFormatPr defaultColWidth="9" defaultRowHeight="26.25"/>
  <cols>
    <col min="1" max="1" width="20.28515625" style="14" customWidth="1"/>
    <col min="2" max="2" width="8.85546875" style="37" customWidth="1"/>
    <col min="3" max="19" width="13.28515625" style="14" customWidth="1"/>
    <col min="20" max="20" width="11.42578125" style="14" customWidth="1"/>
    <col min="21" max="16384" width="9" style="17"/>
  </cols>
  <sheetData>
    <row r="1" spans="1:22" ht="42.75" customHeight="1">
      <c r="A1" s="137" t="s">
        <v>0</v>
      </c>
      <c r="B1" s="137"/>
      <c r="C1" s="137"/>
      <c r="D1" s="137"/>
      <c r="P1" s="138" t="s">
        <v>1</v>
      </c>
      <c r="Q1" s="138"/>
      <c r="R1" s="138"/>
      <c r="S1" s="138"/>
      <c r="T1" s="15"/>
      <c r="U1" s="16"/>
    </row>
    <row r="2" spans="1:22" ht="32.25" customHeight="1">
      <c r="A2" s="139" t="s">
        <v>2</v>
      </c>
      <c r="B2" s="139"/>
      <c r="C2" s="139"/>
      <c r="D2" s="139"/>
      <c r="P2" s="139" t="s">
        <v>3</v>
      </c>
      <c r="Q2" s="139"/>
      <c r="R2" s="139"/>
      <c r="S2" s="139"/>
      <c r="U2" s="16"/>
    </row>
    <row r="3" spans="1:22" ht="12.75" hidden="1" customHeight="1">
      <c r="A3" s="140"/>
      <c r="B3" s="140"/>
      <c r="C3" s="140"/>
      <c r="U3" s="16"/>
    </row>
    <row r="4" spans="1:22" ht="40.5" customHeight="1">
      <c r="A4" s="18" t="s">
        <v>4</v>
      </c>
      <c r="B4" s="19">
        <v>39</v>
      </c>
      <c r="C4" s="134" t="str">
        <f>IF(B4&lt;=37,"الاولى",IF(B4=38,"الثانية",IF(B4=39,"الثالثة",IF(B4=40,"الرابعة",IF(B4=41,"الخامسة",IF(B4=42,"السادسة",IF(B4=43,"السابعة",IF(B4=44,"الثامنة",IF(B4=45,"التاسعة",IF(B4=46,"العاشرة",IF(B4=47,"الحادية عشر",IF(B4=48,"الثانية عشر",IF(B4=49,"الثالثة عشر",IF(B4=50,"الرابعة عشر",IF(B4&gt;=51,"الخامسة عشر")))))))))))))))</f>
        <v>الثالثة</v>
      </c>
      <c r="D4" s="134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1"/>
      <c r="R4" s="135">
        <f ca="1">NOW()</f>
        <v>40610.285379398149</v>
      </c>
      <c r="S4" s="135"/>
      <c r="T4" s="20"/>
      <c r="U4" s="16"/>
    </row>
    <row r="5" spans="1:22" ht="40.5" customHeight="1">
      <c r="A5" s="22" t="s">
        <v>5</v>
      </c>
      <c r="B5" s="23" t="str">
        <f>IF(B4&lt;=37,"135",IF(B4=38,"155",IF(B4=39,"185",IF(B4=40,"215",IF(B4=41,"250",IF(B4=42,"285",IF(B4=43,"330",IF(B4=44,"380",IF(B4=45,"420",IF(B4=46,"460",IF(B4=47,"485",IF(B4=48,"515",IF(B4=49,"535",IF(B4=50,"615",IF(B4&gt;=51,"760")))))))))))))))</f>
        <v>185</v>
      </c>
      <c r="C5" s="20"/>
      <c r="D5" s="143" t="s">
        <v>17</v>
      </c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20"/>
      <c r="R5" s="141">
        <f ca="1">NOW()</f>
        <v>40610.285379398149</v>
      </c>
      <c r="S5" s="141"/>
      <c r="T5" s="20"/>
      <c r="U5" s="16"/>
    </row>
    <row r="6" spans="1:22" ht="40.5" customHeight="1" thickBot="1">
      <c r="A6" s="136" t="s">
        <v>21</v>
      </c>
      <c r="B6" s="136"/>
      <c r="C6" s="136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24"/>
      <c r="R6" s="142">
        <v>39867.543993055559</v>
      </c>
      <c r="S6" s="142"/>
      <c r="T6" s="20"/>
      <c r="U6" s="25"/>
    </row>
    <row r="7" spans="1:22" ht="40.5" customHeight="1" thickTop="1" thickBot="1">
      <c r="A7" s="50" t="s">
        <v>6</v>
      </c>
      <c r="B7" s="51"/>
      <c r="C7" s="52">
        <v>1</v>
      </c>
      <c r="D7" s="52">
        <v>2</v>
      </c>
      <c r="E7" s="52">
        <v>3</v>
      </c>
      <c r="F7" s="52">
        <v>4</v>
      </c>
      <c r="G7" s="52">
        <v>5</v>
      </c>
      <c r="H7" s="52">
        <v>6</v>
      </c>
      <c r="I7" s="52">
        <v>7</v>
      </c>
      <c r="J7" s="52">
        <v>8</v>
      </c>
      <c r="K7" s="52">
        <v>9</v>
      </c>
      <c r="L7" s="52">
        <v>10</v>
      </c>
      <c r="M7" s="52">
        <v>11</v>
      </c>
      <c r="N7" s="52">
        <v>12</v>
      </c>
      <c r="O7" s="52">
        <f>IF(B4&lt;51,13,"")</f>
        <v>13</v>
      </c>
      <c r="P7" s="52">
        <f>IF(B4&lt;50,14,"")</f>
        <v>14</v>
      </c>
      <c r="Q7" s="52">
        <f>IF(B4&lt;49,15,"")</f>
        <v>15</v>
      </c>
      <c r="R7" s="52">
        <f>IF(B4&lt;48,16,"")</f>
        <v>16</v>
      </c>
      <c r="S7" s="53" t="str">
        <f>IF(B4&gt;=47,"","17 ")</f>
        <v xml:space="preserve">17 </v>
      </c>
      <c r="T7" s="20"/>
      <c r="U7" s="16"/>
    </row>
    <row r="8" spans="1:22" ht="40.5" customHeight="1">
      <c r="A8" s="54" t="s">
        <v>7</v>
      </c>
      <c r="B8" s="26"/>
      <c r="C8" s="27" t="str">
        <f>IF(B4&lt;=37,"2195",IF(B4=38,"2680",IF(B4=39,"3125",IF(B4=40,"3585",IF(B4=41,"4230",IF(B4=42,"4970",IF(B4=43,"5835",IF(B4=44,"6755",IF(B4=45,"7890",IF(B4=46,"8800",IF(B4=47,"10155",IF(B4=48,"11575",IF(B4=49,"13125",IF(B4=50,"14200",IF(B4&gt;=51,"17595")))))))))))))))</f>
        <v>3125</v>
      </c>
      <c r="D8" s="28">
        <f>C8+B5</f>
        <v>3310</v>
      </c>
      <c r="E8" s="28">
        <f>D8+B5</f>
        <v>3495</v>
      </c>
      <c r="F8" s="28">
        <f>E8+B5</f>
        <v>3680</v>
      </c>
      <c r="G8" s="28">
        <f>F8+B5</f>
        <v>3865</v>
      </c>
      <c r="H8" s="28">
        <f>G8+B5</f>
        <v>4050</v>
      </c>
      <c r="I8" s="28">
        <f>H8+B5</f>
        <v>4235</v>
      </c>
      <c r="J8" s="28">
        <f>I8+B5</f>
        <v>4420</v>
      </c>
      <c r="K8" s="28">
        <f>J8+B5</f>
        <v>4605</v>
      </c>
      <c r="L8" s="28">
        <f>K8+B5</f>
        <v>4790</v>
      </c>
      <c r="M8" s="28">
        <f>L8+B5</f>
        <v>4975</v>
      </c>
      <c r="N8" s="28">
        <f>M8+B5</f>
        <v>5160</v>
      </c>
      <c r="O8" s="28">
        <f>IF(B4&lt;51,N8+B5,"")</f>
        <v>5345</v>
      </c>
      <c r="P8" s="28">
        <f>IF(B4&lt;50,O8+B5,"")</f>
        <v>5530</v>
      </c>
      <c r="Q8" s="28">
        <f>IF(B4&lt;49,P8+B5,"")</f>
        <v>5715</v>
      </c>
      <c r="R8" s="28">
        <f>IF(B4&lt;48,Q8+B5,"")</f>
        <v>5900</v>
      </c>
      <c r="S8" s="55">
        <f>IF(B4&lt;47,R8+B5,"")</f>
        <v>6085</v>
      </c>
      <c r="T8" s="20"/>
      <c r="U8" s="16"/>
    </row>
    <row r="9" spans="1:22" ht="40.5" customHeight="1">
      <c r="A9" s="56" t="s">
        <v>8</v>
      </c>
      <c r="B9" s="29">
        <v>0.15</v>
      </c>
      <c r="C9" s="30">
        <f>C8*B9</f>
        <v>468.75</v>
      </c>
      <c r="D9" s="31">
        <f>D8*B9</f>
        <v>496.5</v>
      </c>
      <c r="E9" s="31">
        <f>E8*B9</f>
        <v>524.25</v>
      </c>
      <c r="F9" s="31">
        <f>F8*B9</f>
        <v>552</v>
      </c>
      <c r="G9" s="31">
        <f>G8*B9</f>
        <v>579.75</v>
      </c>
      <c r="H9" s="31">
        <f>H8*B9</f>
        <v>607.5</v>
      </c>
      <c r="I9" s="31">
        <f>I8*B9</f>
        <v>635.25</v>
      </c>
      <c r="J9" s="31">
        <f>J8*B9</f>
        <v>663</v>
      </c>
      <c r="K9" s="31">
        <f>K8*B9</f>
        <v>690.75</v>
      </c>
      <c r="L9" s="31">
        <f>L8*B9</f>
        <v>718.5</v>
      </c>
      <c r="M9" s="31">
        <f>M8*B9</f>
        <v>746.25</v>
      </c>
      <c r="N9" s="31">
        <f>N8*B9</f>
        <v>774</v>
      </c>
      <c r="O9" s="31">
        <f>IF(B4&lt;51,O8*B9,"")</f>
        <v>801.75</v>
      </c>
      <c r="P9" s="31">
        <f>IF(B4&lt;50,P8*B9,"")</f>
        <v>829.5</v>
      </c>
      <c r="Q9" s="31">
        <f>IF(B4&lt;49,Q8*B9,"")</f>
        <v>857.25</v>
      </c>
      <c r="R9" s="31">
        <f>IF(B4&lt;48,R8*B9,"")</f>
        <v>885</v>
      </c>
      <c r="S9" s="57">
        <f>IF(B4&lt;47,S8*B9,"")</f>
        <v>912.75</v>
      </c>
      <c r="T9" s="20"/>
      <c r="U9" s="16"/>
    </row>
    <row r="10" spans="1:22" ht="40.5" customHeight="1">
      <c r="A10" s="56" t="s">
        <v>9</v>
      </c>
      <c r="B10" s="32" t="str">
        <f>IF(B4&lt;=41,"400",IF(B4&gt;=42,"600"))</f>
        <v>400</v>
      </c>
      <c r="C10" s="30" t="str">
        <f>B10</f>
        <v>400</v>
      </c>
      <c r="D10" s="31" t="str">
        <f>B10</f>
        <v>400</v>
      </c>
      <c r="E10" s="31" t="str">
        <f>B10</f>
        <v>400</v>
      </c>
      <c r="F10" s="31" t="str">
        <f>B10</f>
        <v>400</v>
      </c>
      <c r="G10" s="31" t="str">
        <f>B10</f>
        <v>400</v>
      </c>
      <c r="H10" s="31" t="str">
        <f>B10</f>
        <v>400</v>
      </c>
      <c r="I10" s="31" t="str">
        <f>B10</f>
        <v>400</v>
      </c>
      <c r="J10" s="31" t="str">
        <f>B10</f>
        <v>400</v>
      </c>
      <c r="K10" s="31" t="str">
        <f>B10</f>
        <v>400</v>
      </c>
      <c r="L10" s="31" t="str">
        <f>B10</f>
        <v>400</v>
      </c>
      <c r="M10" s="31" t="str">
        <f>B10</f>
        <v>400</v>
      </c>
      <c r="N10" s="31" t="str">
        <f>B10</f>
        <v>400</v>
      </c>
      <c r="O10" s="31" t="str">
        <f>IF(B4&lt;51,B10,"")</f>
        <v>400</v>
      </c>
      <c r="P10" s="31" t="str">
        <f>IF(B4&lt;50,B10,"")</f>
        <v>400</v>
      </c>
      <c r="Q10" s="31" t="str">
        <f>IF(B4&lt;49,B10,"")</f>
        <v>400</v>
      </c>
      <c r="R10" s="31" t="str">
        <f>IF(B4&lt;48,B10,"")</f>
        <v>400</v>
      </c>
      <c r="S10" s="57" t="str">
        <f>IF(B4&lt;47,B10,"")</f>
        <v>400</v>
      </c>
      <c r="T10" s="20"/>
      <c r="U10" s="16"/>
    </row>
    <row r="11" spans="1:22" ht="40.5" customHeight="1">
      <c r="A11" s="56" t="s">
        <v>10</v>
      </c>
      <c r="B11" s="33">
        <v>-0.09</v>
      </c>
      <c r="C11" s="30">
        <f>C8*B11</f>
        <v>-281.25</v>
      </c>
      <c r="D11" s="31">
        <f>D8*B11</f>
        <v>-297.89999999999998</v>
      </c>
      <c r="E11" s="31">
        <f>E8*B11</f>
        <v>-314.55</v>
      </c>
      <c r="F11" s="31">
        <f>F8*B11</f>
        <v>-331.2</v>
      </c>
      <c r="G11" s="31">
        <f>G8*B11</f>
        <v>-347.84999999999997</v>
      </c>
      <c r="H11" s="31">
        <f>H8*B11</f>
        <v>-364.5</v>
      </c>
      <c r="I11" s="31">
        <f>I8*B11</f>
        <v>-381.15</v>
      </c>
      <c r="J11" s="31">
        <f>J8*B11</f>
        <v>-397.8</v>
      </c>
      <c r="K11" s="31">
        <f>K8*B11</f>
        <v>-414.45</v>
      </c>
      <c r="L11" s="31">
        <f>L8*B11</f>
        <v>-431.09999999999997</v>
      </c>
      <c r="M11" s="31">
        <f>M8*B11</f>
        <v>-447.75</v>
      </c>
      <c r="N11" s="31">
        <f>N8*B11</f>
        <v>-464.4</v>
      </c>
      <c r="O11" s="31">
        <f>IF(B4&lt;51,O8*B11,"")</f>
        <v>-481.04999999999995</v>
      </c>
      <c r="P11" s="31">
        <f>IF(B4&lt;50,P8*B11,"")</f>
        <v>-497.7</v>
      </c>
      <c r="Q11" s="31">
        <f>IF(B4&lt;49,Q8*B11,"")</f>
        <v>-514.35</v>
      </c>
      <c r="R11" s="31">
        <f>IF(B4&lt;48,R8*B11,"")</f>
        <v>-531</v>
      </c>
      <c r="S11" s="57">
        <f>IF(B4&lt;47,S8*B11,"")</f>
        <v>-547.65</v>
      </c>
      <c r="T11" s="20"/>
      <c r="U11" s="16"/>
    </row>
    <row r="12" spans="1:22" ht="40.5" customHeight="1">
      <c r="A12" s="56" t="s">
        <v>11</v>
      </c>
      <c r="B12" s="33">
        <v>0.2</v>
      </c>
      <c r="C12" s="30">
        <f>C8*B12</f>
        <v>625</v>
      </c>
      <c r="D12" s="31">
        <f>D8*B12</f>
        <v>662</v>
      </c>
      <c r="E12" s="31">
        <f>E8*B12</f>
        <v>699</v>
      </c>
      <c r="F12" s="31">
        <f>F8*B12</f>
        <v>736</v>
      </c>
      <c r="G12" s="31">
        <f>G8*B12</f>
        <v>773</v>
      </c>
      <c r="H12" s="31">
        <f>H8*B12</f>
        <v>810</v>
      </c>
      <c r="I12" s="31">
        <f>I8*B12</f>
        <v>847</v>
      </c>
      <c r="J12" s="31">
        <f>J8*B12</f>
        <v>884</v>
      </c>
      <c r="K12" s="31">
        <f>K8*B12</f>
        <v>921</v>
      </c>
      <c r="L12" s="31">
        <f>L8*B12</f>
        <v>958</v>
      </c>
      <c r="M12" s="31">
        <f>M8*B12</f>
        <v>995</v>
      </c>
      <c r="N12" s="31">
        <f>N8*B12</f>
        <v>1032</v>
      </c>
      <c r="O12" s="31">
        <f>IF(B4&lt;51,O8*B12,"")</f>
        <v>1069</v>
      </c>
      <c r="P12" s="31">
        <f>IF(B4&lt;50,P8*B12,"")</f>
        <v>1106</v>
      </c>
      <c r="Q12" s="31">
        <f>IF(B4&lt;49,Q8*B12,"")</f>
        <v>1143</v>
      </c>
      <c r="R12" s="31">
        <f>IF(B4&lt;48,R8*B12,"")</f>
        <v>1180</v>
      </c>
      <c r="S12" s="57">
        <f>IF(B4&lt;47,S8*B12,"")</f>
        <v>1217</v>
      </c>
      <c r="T12" s="20"/>
      <c r="U12" s="16"/>
    </row>
    <row r="13" spans="1:22" ht="40.5" customHeight="1">
      <c r="A13" s="56" t="s">
        <v>12</v>
      </c>
      <c r="B13" s="32">
        <v>2</v>
      </c>
      <c r="C13" s="30">
        <f>C8*B13</f>
        <v>6250</v>
      </c>
      <c r="D13" s="31">
        <f>D8*B13</f>
        <v>6620</v>
      </c>
      <c r="E13" s="31">
        <f>E8*B13</f>
        <v>6990</v>
      </c>
      <c r="F13" s="31">
        <f>F8*B13</f>
        <v>7360</v>
      </c>
      <c r="G13" s="31">
        <f>G8*B13</f>
        <v>7730</v>
      </c>
      <c r="H13" s="31">
        <f>H8*B13</f>
        <v>8100</v>
      </c>
      <c r="I13" s="31">
        <f>I8*B13</f>
        <v>8470</v>
      </c>
      <c r="J13" s="31">
        <f>J8*B13</f>
        <v>8840</v>
      </c>
      <c r="K13" s="31">
        <f>K8*B13</f>
        <v>9210</v>
      </c>
      <c r="L13" s="31">
        <f>L8*B13</f>
        <v>9580</v>
      </c>
      <c r="M13" s="31">
        <f>M8*B13</f>
        <v>9950</v>
      </c>
      <c r="N13" s="31">
        <f>N8*B13</f>
        <v>10320</v>
      </c>
      <c r="O13" s="31">
        <f>IF(B4&lt;51,O8*B13,"")</f>
        <v>10690</v>
      </c>
      <c r="P13" s="31">
        <f>IF(B4&lt;50,P8*B13,"")</f>
        <v>11060</v>
      </c>
      <c r="Q13" s="31">
        <f>IF(B4&lt;49,Q8*B13,"")</f>
        <v>11430</v>
      </c>
      <c r="R13" s="31">
        <f>IF(B4&lt;48,R8*B13,"")</f>
        <v>11800</v>
      </c>
      <c r="S13" s="57">
        <f>IF(B4&lt;47,S8*B13,"")</f>
        <v>12170</v>
      </c>
      <c r="T13" s="20"/>
      <c r="U13" s="16"/>
    </row>
    <row r="14" spans="1:22" ht="44.25" customHeight="1" thickBot="1">
      <c r="A14" s="58" t="s">
        <v>14</v>
      </c>
      <c r="B14" s="59"/>
      <c r="C14" s="60">
        <f>C8+C9+C10+C11+C12</f>
        <v>4337.5</v>
      </c>
      <c r="D14" s="61">
        <f t="shared" ref="D14:R14" si="0">D8+D9+D10+D11+D12</f>
        <v>4570.6000000000004</v>
      </c>
      <c r="E14" s="61">
        <f t="shared" si="0"/>
        <v>4803.7</v>
      </c>
      <c r="F14" s="61">
        <f t="shared" si="0"/>
        <v>5036.8</v>
      </c>
      <c r="G14" s="61">
        <f t="shared" si="0"/>
        <v>5269.9</v>
      </c>
      <c r="H14" s="61">
        <f t="shared" si="0"/>
        <v>5503</v>
      </c>
      <c r="I14" s="61">
        <f t="shared" si="0"/>
        <v>5736.1</v>
      </c>
      <c r="J14" s="61">
        <f t="shared" si="0"/>
        <v>5969.2</v>
      </c>
      <c r="K14" s="61">
        <f t="shared" si="0"/>
        <v>6202.3</v>
      </c>
      <c r="L14" s="61">
        <f t="shared" si="0"/>
        <v>6435.4</v>
      </c>
      <c r="M14" s="61">
        <f t="shared" si="0"/>
        <v>6668.5</v>
      </c>
      <c r="N14" s="61">
        <f t="shared" si="0"/>
        <v>6901.6</v>
      </c>
      <c r="O14" s="61">
        <f t="shared" si="0"/>
        <v>7134.7</v>
      </c>
      <c r="P14" s="61">
        <f t="shared" si="0"/>
        <v>7367.8</v>
      </c>
      <c r="Q14" s="61">
        <f t="shared" si="0"/>
        <v>7600.9</v>
      </c>
      <c r="R14" s="61">
        <f t="shared" si="0"/>
        <v>7834</v>
      </c>
      <c r="S14" s="62">
        <f>S8+S9+S10+S11+S12</f>
        <v>8067.1</v>
      </c>
      <c r="T14" s="65"/>
      <c r="U14" s="25"/>
      <c r="V14" s="66"/>
    </row>
    <row r="15" spans="1:22" s="35" customFormat="1" ht="40.5" customHeight="1" thickTop="1" thickBot="1">
      <c r="A15" s="132" t="s">
        <v>16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63"/>
      <c r="U15" s="64"/>
      <c r="V15" s="64"/>
    </row>
    <row r="16" spans="1:22" s="35" customFormat="1" ht="27" thickTop="1">
      <c r="A16" s="34"/>
      <c r="B16" s="36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</sheetData>
  <sheetProtection password="CCDF" sheet="1" objects="1" scenarios="1"/>
  <protectedRanges>
    <protectedRange password="CAE1" sqref="B13" name="مكافأت رمضان"/>
    <protectedRange password="DD06" sqref="B12" name="علاوة"/>
    <protectedRange password="8E16" sqref="B11" name="التقاعد"/>
  </protectedRanges>
  <mergeCells count="12">
    <mergeCell ref="A15:S15"/>
    <mergeCell ref="C4:D4"/>
    <mergeCell ref="R4:S4"/>
    <mergeCell ref="A6:C6"/>
    <mergeCell ref="A1:D1"/>
    <mergeCell ref="P1:S1"/>
    <mergeCell ref="A2:D2"/>
    <mergeCell ref="P2:S2"/>
    <mergeCell ref="A3:C3"/>
    <mergeCell ref="R5:S5"/>
    <mergeCell ref="R6:S6"/>
    <mergeCell ref="D5:P6"/>
  </mergeCells>
  <conditionalFormatting sqref="B4">
    <cfRule type="cellIs" dxfId="10" priority="6" operator="equal">
      <formula>51</formula>
    </cfRule>
    <cfRule type="cellIs" dxfId="9" priority="7" operator="lessThan">
      <formula>37</formula>
    </cfRule>
    <cfRule type="cellIs" dxfId="8" priority="8" operator="greaterThan">
      <formula>50</formula>
    </cfRule>
  </conditionalFormatting>
  <conditionalFormatting sqref="S8:S13 P14:T14">
    <cfRule type="cellIs" dxfId="7" priority="5" operator="greaterThan">
      <formula>0</formula>
    </cfRule>
  </conditionalFormatting>
  <conditionalFormatting sqref="C8:S14">
    <cfRule type="cellIs" dxfId="6" priority="2" operator="greaterThan">
      <formula>0</formula>
    </cfRule>
  </conditionalFormatting>
  <conditionalFormatting sqref="C11:S11">
    <cfRule type="cellIs" dxfId="5" priority="1" operator="lessThan">
      <formula>0</formula>
    </cfRule>
  </conditionalFormatting>
  <dataValidations count="1">
    <dataValidation type="list" allowBlank="1" showInputMessage="1" showErrorMessage="1" sqref="C5">
      <formula1>$U$1:$U$14</formula1>
    </dataValidation>
  </dataValidations>
  <hyperlinks>
    <hyperlink ref="A6:C6" location="'سلم رواتب موظفي ومستخدمي وعمال '!A1" tooltip="الانتقال الى الرواتب" display="سلم رواتب موظفي ومستخدمي وعمال '!A1"/>
    <hyperlink ref="A15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1" orientation="landscape" blackAndWhite="1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ورقة12">
    <outlinePr showOutlineSymbols="0"/>
    <pageSetUpPr fitToPage="1"/>
  </sheetPr>
  <dimension ref="A1:W29"/>
  <sheetViews>
    <sheetView showGridLines="0" showRowColHeaders="0" showZeros="0" rightToLeft="1" tabSelected="1" showOutlineSymbols="0" zoomScale="45" zoomScaleNormal="45" workbookViewId="0">
      <pane xSplit="22" ySplit="22" topLeftCell="W23" activePane="bottomRight" state="frozen"/>
      <selection pane="topRight" activeCell="W1" sqref="W1"/>
      <selection pane="bottomLeft" activeCell="A20" sqref="A20"/>
      <selection pane="bottomRight" activeCell="B7" sqref="B7"/>
    </sheetView>
  </sheetViews>
  <sheetFormatPr defaultColWidth="9" defaultRowHeight="54.75"/>
  <cols>
    <col min="1" max="1" width="17.7109375" style="2" customWidth="1"/>
    <col min="2" max="2" width="12.7109375" style="5" customWidth="1"/>
    <col min="3" max="22" width="12.42578125" style="2" customWidth="1"/>
    <col min="23" max="23" width="9" style="4"/>
    <col min="24" max="16384" width="9" style="2"/>
  </cols>
  <sheetData>
    <row r="1" spans="1:23" ht="45.75" customHeight="1">
      <c r="A1" s="130" t="s">
        <v>0</v>
      </c>
      <c r="B1" s="130"/>
      <c r="C1" s="130"/>
      <c r="D1" s="130"/>
      <c r="R1" s="3"/>
      <c r="S1" s="130" t="s">
        <v>1</v>
      </c>
      <c r="T1" s="130"/>
      <c r="U1" s="130"/>
      <c r="V1" s="130"/>
      <c r="W1" s="4">
        <v>17</v>
      </c>
    </row>
    <row r="2" spans="1:23" ht="45" customHeight="1">
      <c r="A2" s="130" t="s">
        <v>2</v>
      </c>
      <c r="B2" s="130"/>
      <c r="C2" s="130"/>
      <c r="D2" s="130"/>
      <c r="R2" s="3"/>
      <c r="S2" s="130" t="s">
        <v>3</v>
      </c>
      <c r="T2" s="130"/>
      <c r="U2" s="130"/>
      <c r="V2" s="130"/>
      <c r="W2" s="4">
        <v>18</v>
      </c>
    </row>
    <row r="3" spans="1:23" ht="12.75" hidden="1" customHeight="1">
      <c r="A3" s="131"/>
      <c r="B3" s="131"/>
      <c r="C3" s="131"/>
      <c r="S3" s="97"/>
      <c r="T3" s="97"/>
      <c r="U3" s="97"/>
      <c r="V3" s="97"/>
    </row>
    <row r="4" spans="1:23" ht="30.75" customHeight="1">
      <c r="C4" s="6"/>
      <c r="D4" s="6"/>
      <c r="R4" s="7"/>
      <c r="S4" s="129">
        <f ca="1">NOW()</f>
        <v>40610.285379398149</v>
      </c>
      <c r="T4" s="129"/>
      <c r="U4" s="129"/>
      <c r="V4" s="129"/>
      <c r="W4" s="4">
        <v>19</v>
      </c>
    </row>
    <row r="5" spans="1:23" ht="40.5" customHeight="1">
      <c r="A5" s="8" t="s">
        <v>4</v>
      </c>
      <c r="B5" s="1">
        <v>44</v>
      </c>
      <c r="C5" s="123" t="str">
        <f>IF(B5=17,"31",IF(B5=18,"32",IF(B5=19,"33",IF(B5=20,"",IF(B5=21,"",IF(B5=37,"الاولى",IF(B5=38,"الثانية",IF(B5=39,"الثالثة",IF(B5=40,"الرابعة",IF(B5=41,"الخامسة",IF(B5=42,"السادسة",IF(B5=43,"السابعة",IF(B5=44,"الثامنة",IF(B5=45,"التاسعة",IF(B5=46,"العاشرة",IF(B5=47,"الحادية عشر",IF(B5=48,"الثانية عشر",IF(B5=49,"الثالثة عشر",IF(B5=50,"الرابعة عشر",IF(B5=51,"الخامسة عشر",IF(B5=61,"(  أ  )",IF(B5=62,"(  ب  )",IF(B5=63,"(  ج  )",IF(B5&gt;=64," ( د  )"))))))))))))))))))))))))</f>
        <v>الثامنة</v>
      </c>
      <c r="D5" s="123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0"/>
      <c r="R5" s="10"/>
      <c r="S5" s="124">
        <f ca="1">NOW()</f>
        <v>40610.285379398149</v>
      </c>
      <c r="T5" s="124"/>
      <c r="U5" s="124"/>
      <c r="V5" s="124"/>
      <c r="W5" s="4">
        <v>20</v>
      </c>
    </row>
    <row r="6" spans="1:23" ht="40.5" hidden="1" customHeight="1">
      <c r="A6" s="8" t="s">
        <v>5</v>
      </c>
      <c r="B6" s="96" t="str">
        <f>IF(B5=36,"110",IF(B5=17,"100",IF(B5=18,"135",IF(B5=19,"180",IF(B5=20,"180",IF(B5=21,"180",IF(B5=37,"135",IF(B5=38,"155",IF(B5=39,"185",IF(B5=40,"215",IF(B5=41,"250",IF(B5=42,"285",IF(B5=43,"330",IF(B5=44,"380",IF(B5=45,"420",IF(B5=46,"460",IF(B5=47,"485",IF(B5=48,"515",IF(B5=49,"535",IF(B5=50,"615",IF(B5=51,"760",IF(B5=61,"105",IF(B5=62,"140",IF(B5=63,"175",IF(B5=64,"210")))))))))))))))))))))))))</f>
        <v>380</v>
      </c>
      <c r="C6" s="157"/>
      <c r="D6" s="157"/>
      <c r="E6" s="152" t="str">
        <f>IF(B5=17,"بيان رواتب بند المستخدمين بمؤسسة البريد السعودي 1432هـ",IF(B5=18,"بيان رواتب بند المستخدمين بمؤسسة البريد السعودي 1432ه",IF(B5=19,"بيان رواتب بند المستخدمين بمؤسسة البريد السعودي 1432ه",IF(B5=20,"بيان رواتب بند المستخدمين بمؤسسة البريد السعودي 1432ه",IF(B5=21,"بيان رواتب بند المستخدمين بمؤسسة البريد السعودي 1432ه",IF(B5=37,"بيان رواتب موظفي مؤسسة البريد السعودي 1432ه",IF(B5=38,"بيان رواتب موظفي مؤسسة البريد السعودي 1432ه",IF(B5=39,"بيان رواتب موظفي مؤسسة البريد السعودي 1432ه",IF(B5=40,"بيان رواتب موظفي مؤسسة البريد السعودي 1432ه",IF(B5=41,"بيان رواتب موظفي مؤسسة البريد السعودي 1432ه",IF(B5=42,"بيان رواتب موظفي مؤسسة البريد السعودي 1432ه",IF(B5=43,"بيان رواتب موظفي مؤسسة البريد السعودي 1432ه",IF(B5=44,"بيان رواتب موظفي مؤسسة البريد السعودي 1432ه",IF(B5=45,"ببيان رواتب موظفي مؤسسة البريد السعودي 1432ه",IF(B5=46,"بيان رواتب موظفي مؤسسة البريد السعودي 1432ه",IF(B5=47,"بيان رواتب موظفي مؤسسة البريد السعودي 1432ه",IF(B5=48,"بيان رواتب موظفي مؤسسة البريد السعودي 1432ه",IF(B5=49,"بيان رواتب موظفي مؤسسة البريد السعودي 1432ه",IF(B5=50,"بيان رواتب موظفي مؤسسة البريد السعودي 1432ه",IF(B5=51,"بيان رواتب المرتبة الممتازه بمؤسسة البريد السعودي 1432ه",IF(B5=61,"بيان رواتب بند العمال بمؤسسة البريد السعودي 1432ه",IF(B5=62,"بيان برواتب بند العمال بمؤسسة البريد السعودي",IF(B5=63,"بيان رواتب بند العمال بمؤسسة البريد السعودي 1432ه",IF(B5&gt;=64,"بيان رواتب بند العمال بمؤسسة البريد السعودي 1432ه"))))))))))))))))))))))))</f>
        <v>بيان رواتب موظفي مؤسسة البريد السعودي 1432ه</v>
      </c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27">
        <f ca="1">NOW()</f>
        <v>40610.285379398149</v>
      </c>
      <c r="T6" s="127"/>
      <c r="U6" s="127"/>
      <c r="V6" s="127"/>
      <c r="W6" s="4">
        <v>21</v>
      </c>
    </row>
    <row r="7" spans="1:23" ht="40.5" customHeight="1">
      <c r="A7" s="98" t="s">
        <v>24</v>
      </c>
      <c r="B7" s="99">
        <f>MROUND(C7,5)</f>
        <v>435</v>
      </c>
      <c r="C7" s="102">
        <f>B6*15%+B6</f>
        <v>437</v>
      </c>
      <c r="D7" s="100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01"/>
      <c r="T7" s="101"/>
      <c r="U7" s="101"/>
      <c r="V7" s="101"/>
    </row>
    <row r="8" spans="1:23" ht="40.5" customHeight="1" thickBot="1">
      <c r="A8" s="156" t="s">
        <v>20</v>
      </c>
      <c r="B8" s="156"/>
      <c r="C8" s="156"/>
      <c r="D8" s="9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28">
        <f ca="1">NOW()</f>
        <v>40610.285379398149</v>
      </c>
      <c r="T8" s="128"/>
      <c r="U8" s="128"/>
      <c r="V8" s="128"/>
      <c r="W8" s="4">
        <v>36</v>
      </c>
    </row>
    <row r="9" spans="1:23" ht="40.5" customHeight="1" thickTop="1">
      <c r="A9" s="154" t="s">
        <v>6</v>
      </c>
      <c r="B9" s="155"/>
      <c r="C9" s="107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09">
        <v>12</v>
      </c>
      <c r="O9" s="109">
        <f>IF(B5&lt;=50,13,IF(B5&gt;=60,13,IF(B5&gt;=48,"")))</f>
        <v>13</v>
      </c>
      <c r="P9" s="109">
        <f>IF(B5&lt;=49,14,IF(B5&gt;=60,14,IF(B5&gt;=48,"")))</f>
        <v>14</v>
      </c>
      <c r="Q9" s="109">
        <f>IF(B5&lt;=48,15,IF(B5&gt;=60,15,IF(B5&gt;=48,"")))</f>
        <v>15</v>
      </c>
      <c r="R9" s="109">
        <f>IF(B5&lt;48,16,"")</f>
        <v>16</v>
      </c>
      <c r="S9" s="109" t="str">
        <f>IF(B5&gt;=47,"","17 ")</f>
        <v xml:space="preserve">17 </v>
      </c>
      <c r="T9" s="109" t="str">
        <f>IF(B5&lt;20,18,"")</f>
        <v/>
      </c>
      <c r="U9" s="109" t="str">
        <f>IF(B5&lt;19,19,"")</f>
        <v/>
      </c>
      <c r="V9" s="108" t="str">
        <f>IF(B5&lt;19,20,"")</f>
        <v/>
      </c>
      <c r="W9" s="4">
        <v>37</v>
      </c>
    </row>
    <row r="10" spans="1:23" ht="40.5" customHeight="1">
      <c r="A10" s="150" t="s">
        <v>18</v>
      </c>
      <c r="B10" s="151"/>
      <c r="C10" s="38" t="str">
        <f>IF(B5&lt;=17,"1430",IF(B5=18,"1815",IF(B5=19,"2620",IF(B5=20,"3295",IF(B5=21,"3975",IF(B5=37,"2195",IF(B5=38,"2680",IF(B5=39,"3125",IF(B5=40,"3585",IF(B5=41,"4230",IF(B5=42,"4970",IF(B5=43,"5835",IF(B5=44,"6755",IF(B5=45,"7890",IF(B5=46,"8800",IF(B5=47,"10155",IF(B5=48,"11575",IF(B5=49,"13125",IF(B5=50,"14200",IF(B5=51,"17595",IF(B5=61,"1485",IF(B5=62,"1970",IF(B5=63,"2600",IF(B5&gt;=64,"3355"))))))))))))))))))))))))</f>
        <v>6755</v>
      </c>
      <c r="D10" s="45">
        <f>C10+B6</f>
        <v>7135</v>
      </c>
      <c r="E10" s="45">
        <f>D10+B6</f>
        <v>7515</v>
      </c>
      <c r="F10" s="45">
        <f>E10+B6</f>
        <v>7895</v>
      </c>
      <c r="G10" s="45">
        <f>F10+B6</f>
        <v>8275</v>
      </c>
      <c r="H10" s="45">
        <f>G10+B6</f>
        <v>8655</v>
      </c>
      <c r="I10" s="45">
        <f>H10+B6</f>
        <v>9035</v>
      </c>
      <c r="J10" s="45">
        <f>I10+B6</f>
        <v>9415</v>
      </c>
      <c r="K10" s="45">
        <f>J10+B6</f>
        <v>9795</v>
      </c>
      <c r="L10" s="45">
        <f>K10+B6</f>
        <v>10175</v>
      </c>
      <c r="M10" s="45">
        <f>L10+B6</f>
        <v>10555</v>
      </c>
      <c r="N10" s="45">
        <f>M10+B6</f>
        <v>10935</v>
      </c>
      <c r="O10" s="45">
        <f>IF(B5&lt;=50,N10+B6,IF(B5&gt;=60,N10+B6,IF(B5&gt;=48,"")))</f>
        <v>11315</v>
      </c>
      <c r="P10" s="45">
        <f>IF(B5&lt;=49,O10+B6,IF(B5&gt;=60,O10+B6,IF(B5&gt;=48,"")))</f>
        <v>11695</v>
      </c>
      <c r="Q10" s="45">
        <f>IF(B5&lt;=48,P10+B6,IF(B5&gt;=60,P10+B6,IF(B5&gt;=48,"")))</f>
        <v>12075</v>
      </c>
      <c r="R10" s="45">
        <f>IF(B5&lt;48,Q10+B6,"")</f>
        <v>12455</v>
      </c>
      <c r="S10" s="45">
        <f>IF(B5&lt;47,R10+B6,"")</f>
        <v>12835</v>
      </c>
      <c r="T10" s="45" t="str">
        <f>IF(B5&lt;20,S10+B6,"")</f>
        <v/>
      </c>
      <c r="U10" s="45" t="str">
        <f>IF(B5&lt;19,T10+B6,"")</f>
        <v/>
      </c>
      <c r="V10" s="46" t="str">
        <f>IF(B5&lt;19,U10+B6,"")</f>
        <v/>
      </c>
      <c r="W10" s="4">
        <v>38</v>
      </c>
    </row>
    <row r="11" spans="1:23" ht="40.5" hidden="1" customHeight="1">
      <c r="A11" s="40" t="s">
        <v>8</v>
      </c>
      <c r="B11" s="42">
        <v>0.15</v>
      </c>
      <c r="C11" s="47">
        <f>C10*B11</f>
        <v>1013.25</v>
      </c>
      <c r="D11" s="48">
        <f>D10*B11</f>
        <v>1070.25</v>
      </c>
      <c r="E11" s="48">
        <f>E10*B11</f>
        <v>1127.25</v>
      </c>
      <c r="F11" s="48">
        <f>F10*B11</f>
        <v>1184.25</v>
      </c>
      <c r="G11" s="48">
        <f>G10*B11</f>
        <v>1241.25</v>
      </c>
      <c r="H11" s="48">
        <f>H10*B11</f>
        <v>1298.25</v>
      </c>
      <c r="I11" s="48">
        <f>I10*B11</f>
        <v>1355.25</v>
      </c>
      <c r="J11" s="48">
        <f>J10*B11</f>
        <v>1412.25</v>
      </c>
      <c r="K11" s="48">
        <f>K10*B11</f>
        <v>1469.25</v>
      </c>
      <c r="L11" s="48">
        <f>L10*B11</f>
        <v>1526.25</v>
      </c>
      <c r="M11" s="48">
        <f>M10*B11</f>
        <v>1583.25</v>
      </c>
      <c r="N11" s="48">
        <f>N10*B11</f>
        <v>1640.25</v>
      </c>
      <c r="O11" s="48">
        <f>IF(B5&lt;=50,O10*B11,IF(B5&gt;=60,O10*B11,IF(B5&gt;=48,"")))</f>
        <v>1697.25</v>
      </c>
      <c r="P11" s="48">
        <f>IF(B5&lt;=49,P10*B11,IF(B5&gt;=60,P10*B11,IF(B5&gt;=48,"")))</f>
        <v>1754.25</v>
      </c>
      <c r="Q11" s="48">
        <f>IF(B5&lt;=48,Q10*B11,IF(B5&gt;=60,Q10*B11,IF(B5&gt;=48,"")))</f>
        <v>1811.25</v>
      </c>
      <c r="R11" s="48">
        <f>IF(B5&lt;48,R10*B11,"")</f>
        <v>1868.25</v>
      </c>
      <c r="S11" s="48">
        <f>IF(B5&lt;47,S10*B11,"")</f>
        <v>1925.25</v>
      </c>
      <c r="T11" s="48" t="str">
        <f>IF(B5&lt;20,T10*B11,"")</f>
        <v/>
      </c>
      <c r="U11" s="48" t="str">
        <f>IF(B5&lt;19,U10*B11,"")</f>
        <v/>
      </c>
      <c r="V11" s="49" t="str">
        <f>IF(B5&lt;19,V10*B11,"")</f>
        <v/>
      </c>
      <c r="W11" s="4">
        <v>39</v>
      </c>
    </row>
    <row r="12" spans="1:23" ht="36.75" hidden="1" customHeight="1">
      <c r="A12" s="158" t="s">
        <v>19</v>
      </c>
      <c r="B12" s="159"/>
      <c r="C12" s="67">
        <f>C10+C11</f>
        <v>7768.25</v>
      </c>
      <c r="D12" s="68">
        <f t="shared" ref="D12:V12" si="0">D10+D11</f>
        <v>8205.25</v>
      </c>
      <c r="E12" s="68">
        <f t="shared" si="0"/>
        <v>8642.25</v>
      </c>
      <c r="F12" s="68">
        <f t="shared" si="0"/>
        <v>9079.25</v>
      </c>
      <c r="G12" s="68">
        <f t="shared" si="0"/>
        <v>9516.25</v>
      </c>
      <c r="H12" s="68">
        <f t="shared" si="0"/>
        <v>9953.25</v>
      </c>
      <c r="I12" s="68">
        <f t="shared" si="0"/>
        <v>10390.25</v>
      </c>
      <c r="J12" s="68">
        <f t="shared" si="0"/>
        <v>10827.25</v>
      </c>
      <c r="K12" s="68">
        <f t="shared" si="0"/>
        <v>11264.25</v>
      </c>
      <c r="L12" s="68">
        <f t="shared" si="0"/>
        <v>11701.25</v>
      </c>
      <c r="M12" s="68">
        <f t="shared" si="0"/>
        <v>12138.25</v>
      </c>
      <c r="N12" s="68">
        <f t="shared" si="0"/>
        <v>12575.25</v>
      </c>
      <c r="O12" s="68">
        <f t="shared" si="0"/>
        <v>13012.25</v>
      </c>
      <c r="P12" s="68">
        <f t="shared" si="0"/>
        <v>13449.25</v>
      </c>
      <c r="Q12" s="68">
        <f t="shared" si="0"/>
        <v>13886.25</v>
      </c>
      <c r="R12" s="68">
        <f t="shared" si="0"/>
        <v>14323.25</v>
      </c>
      <c r="S12" s="68">
        <f t="shared" si="0"/>
        <v>14760.25</v>
      </c>
      <c r="T12" s="68" t="e">
        <f t="shared" si="0"/>
        <v>#VALUE!</v>
      </c>
      <c r="U12" s="68" t="e">
        <f t="shared" si="0"/>
        <v>#VALUE!</v>
      </c>
      <c r="V12" s="69" t="e">
        <f t="shared" si="0"/>
        <v>#VALUE!</v>
      </c>
      <c r="W12" s="4">
        <v>40</v>
      </c>
    </row>
    <row r="13" spans="1:23" ht="40.5" customHeight="1">
      <c r="A13" s="158" t="s">
        <v>19</v>
      </c>
      <c r="B13" s="160"/>
      <c r="C13" s="67">
        <f>MROUND(C12,5)</f>
        <v>7770</v>
      </c>
      <c r="D13" s="68">
        <f t="shared" ref="D13:V13" si="1">MROUND(D12,5)</f>
        <v>8205</v>
      </c>
      <c r="E13" s="68">
        <f t="shared" si="1"/>
        <v>8640</v>
      </c>
      <c r="F13" s="68">
        <f t="shared" si="1"/>
        <v>9080</v>
      </c>
      <c r="G13" s="68">
        <f t="shared" si="1"/>
        <v>9515</v>
      </c>
      <c r="H13" s="68">
        <f t="shared" si="1"/>
        <v>9955</v>
      </c>
      <c r="I13" s="68">
        <f t="shared" si="1"/>
        <v>10390</v>
      </c>
      <c r="J13" s="68">
        <f t="shared" si="1"/>
        <v>10825</v>
      </c>
      <c r="K13" s="68">
        <f t="shared" si="1"/>
        <v>11265</v>
      </c>
      <c r="L13" s="68">
        <f t="shared" si="1"/>
        <v>11700</v>
      </c>
      <c r="M13" s="68">
        <f t="shared" si="1"/>
        <v>12140</v>
      </c>
      <c r="N13" s="68">
        <f t="shared" si="1"/>
        <v>12575</v>
      </c>
      <c r="O13" s="68">
        <f t="shared" si="1"/>
        <v>13010</v>
      </c>
      <c r="P13" s="68">
        <f t="shared" si="1"/>
        <v>13450</v>
      </c>
      <c r="Q13" s="68">
        <f t="shared" si="1"/>
        <v>13885</v>
      </c>
      <c r="R13" s="68">
        <f t="shared" si="1"/>
        <v>14325</v>
      </c>
      <c r="S13" s="68">
        <f t="shared" si="1"/>
        <v>14760</v>
      </c>
      <c r="T13" s="68" t="e">
        <f t="shared" si="1"/>
        <v>#VALUE!</v>
      </c>
      <c r="U13" s="68" t="e">
        <f t="shared" si="1"/>
        <v>#VALUE!</v>
      </c>
      <c r="V13" s="69" t="e">
        <f t="shared" si="1"/>
        <v>#VALUE!</v>
      </c>
    </row>
    <row r="14" spans="1:23" ht="40.5" customHeight="1">
      <c r="A14" s="103" t="s">
        <v>22</v>
      </c>
      <c r="B14" s="105">
        <v>0</v>
      </c>
      <c r="C14" s="47">
        <f>C13*B14</f>
        <v>0</v>
      </c>
      <c r="D14" s="48">
        <f>D13*B14</f>
        <v>0</v>
      </c>
      <c r="E14" s="48">
        <f>E13*B14</f>
        <v>0</v>
      </c>
      <c r="F14" s="48">
        <f>F13*B14</f>
        <v>0</v>
      </c>
      <c r="G14" s="48">
        <f>G13*B14</f>
        <v>0</v>
      </c>
      <c r="H14" s="48">
        <f>H13*B14</f>
        <v>0</v>
      </c>
      <c r="I14" s="48">
        <f>I13*B14</f>
        <v>0</v>
      </c>
      <c r="J14" s="48">
        <f>J13*B14</f>
        <v>0</v>
      </c>
      <c r="K14" s="48">
        <f>K13*B14</f>
        <v>0</v>
      </c>
      <c r="L14" s="48">
        <f>L13*B14</f>
        <v>0</v>
      </c>
      <c r="M14" s="48">
        <f>M13*B14</f>
        <v>0</v>
      </c>
      <c r="N14" s="48">
        <f>N13*B14</f>
        <v>0</v>
      </c>
      <c r="O14" s="48">
        <f>O13*B14</f>
        <v>0</v>
      </c>
      <c r="P14" s="48">
        <f>P13*B14</f>
        <v>0</v>
      </c>
      <c r="Q14" s="48">
        <f>Q13*B14</f>
        <v>0</v>
      </c>
      <c r="R14" s="48">
        <f>R13*B14</f>
        <v>0</v>
      </c>
      <c r="S14" s="48">
        <f>S13*B14</f>
        <v>0</v>
      </c>
      <c r="T14" s="48" t="e">
        <f>T13*B14</f>
        <v>#VALUE!</v>
      </c>
      <c r="U14" s="48" t="e">
        <f>U13*B14</f>
        <v>#VALUE!</v>
      </c>
      <c r="V14" s="49" t="e">
        <f>V13*B14</f>
        <v>#VALUE!</v>
      </c>
    </row>
    <row r="15" spans="1:23" ht="40.5" customHeight="1">
      <c r="A15" s="41" t="s">
        <v>9</v>
      </c>
      <c r="B15" s="43" t="str">
        <f>IF(B5&lt;=41,"500",IF(B5&lt;=46,"700",IF(B5&lt;=49,"900",IF(B5&lt;=51,"1200",IF(B5&lt;=64,"500",)))))</f>
        <v>700</v>
      </c>
      <c r="C15" s="38" t="str">
        <f>B15</f>
        <v>700</v>
      </c>
      <c r="D15" s="45" t="str">
        <f>B15</f>
        <v>700</v>
      </c>
      <c r="E15" s="45" t="str">
        <f>B15</f>
        <v>700</v>
      </c>
      <c r="F15" s="45" t="str">
        <f>B15</f>
        <v>700</v>
      </c>
      <c r="G15" s="45" t="str">
        <f>B15</f>
        <v>700</v>
      </c>
      <c r="H15" s="45" t="str">
        <f>B15</f>
        <v>700</v>
      </c>
      <c r="I15" s="45" t="str">
        <f>B15</f>
        <v>700</v>
      </c>
      <c r="J15" s="45" t="str">
        <f>B15</f>
        <v>700</v>
      </c>
      <c r="K15" s="45" t="str">
        <f>B15</f>
        <v>700</v>
      </c>
      <c r="L15" s="45" t="str">
        <f>B15</f>
        <v>700</v>
      </c>
      <c r="M15" s="45" t="str">
        <f>B15</f>
        <v>700</v>
      </c>
      <c r="N15" s="45" t="str">
        <f>B15</f>
        <v>700</v>
      </c>
      <c r="O15" s="45" t="str">
        <f>IF(B5&lt;=50,B15,IF(B5&gt;=60,B15,IF(B5&gt;=48,"")))</f>
        <v>700</v>
      </c>
      <c r="P15" s="45" t="str">
        <f>IF(B5&lt;=49,B15,IF(B5&gt;=60,B15,IF(B5&gt;=48,"")))</f>
        <v>700</v>
      </c>
      <c r="Q15" s="45" t="str">
        <f>IF(B5&lt;=48,B15,IF(B5&gt;=60,B15,IF(B5&gt;=48,"")))</f>
        <v>700</v>
      </c>
      <c r="R15" s="45" t="str">
        <f>IF(B5&lt;48,B15,"")</f>
        <v>700</v>
      </c>
      <c r="S15" s="45" t="str">
        <f>IF(B5&lt;47,B15,"")</f>
        <v>700</v>
      </c>
      <c r="T15" s="45" t="str">
        <f>IF(B5&lt;20,B15,"")</f>
        <v/>
      </c>
      <c r="U15" s="45" t="str">
        <f>IF(B5&lt;19,B15,"")</f>
        <v/>
      </c>
      <c r="V15" s="46" t="str">
        <f>IF(B5&lt;19,B15,"")</f>
        <v/>
      </c>
      <c r="W15" s="4">
        <v>41</v>
      </c>
    </row>
    <row r="16" spans="1:23" ht="40.5" customHeight="1">
      <c r="A16" s="39" t="s">
        <v>10</v>
      </c>
      <c r="B16" s="44">
        <v>-0.09</v>
      </c>
      <c r="C16" s="47">
        <f>C13*B16</f>
        <v>-699.3</v>
      </c>
      <c r="D16" s="48">
        <f>D13*B16</f>
        <v>-738.44999999999993</v>
      </c>
      <c r="E16" s="48">
        <f>E13*B16</f>
        <v>-777.6</v>
      </c>
      <c r="F16" s="48">
        <f>F13*B16</f>
        <v>-817.19999999999993</v>
      </c>
      <c r="G16" s="48">
        <f>G13*B16</f>
        <v>-856.35</v>
      </c>
      <c r="H16" s="48">
        <f>H13*B16</f>
        <v>-895.94999999999993</v>
      </c>
      <c r="I16" s="48">
        <f>I13*B16</f>
        <v>-935.09999999999991</v>
      </c>
      <c r="J16" s="48">
        <f>J13*B16</f>
        <v>-974.25</v>
      </c>
      <c r="K16" s="48">
        <f>K13*B16</f>
        <v>-1013.8499999999999</v>
      </c>
      <c r="L16" s="48">
        <f>L13*B16</f>
        <v>-1053</v>
      </c>
      <c r="M16" s="48">
        <f>M13*B16</f>
        <v>-1092.5999999999999</v>
      </c>
      <c r="N16" s="48">
        <f>N13*B16</f>
        <v>-1131.75</v>
      </c>
      <c r="O16" s="48">
        <f>O13*B16</f>
        <v>-1170.8999999999999</v>
      </c>
      <c r="P16" s="48">
        <f>P13*B16</f>
        <v>-1210.5</v>
      </c>
      <c r="Q16" s="48">
        <f>Q13*B16</f>
        <v>-1249.6499999999999</v>
      </c>
      <c r="R16" s="48">
        <f>R13*B16</f>
        <v>-1289.25</v>
      </c>
      <c r="S16" s="48">
        <f>S13*B16</f>
        <v>-1328.3999999999999</v>
      </c>
      <c r="T16" s="48" t="e">
        <f>T13*B16</f>
        <v>#VALUE!</v>
      </c>
      <c r="U16" s="48" t="e">
        <f>U13*B16</f>
        <v>#VALUE!</v>
      </c>
      <c r="V16" s="49" t="e">
        <f>V13*B16</f>
        <v>#VALUE!</v>
      </c>
      <c r="W16" s="4">
        <v>42</v>
      </c>
    </row>
    <row r="17" spans="1:23" ht="40.5" customHeight="1">
      <c r="A17" s="39" t="s">
        <v>11</v>
      </c>
      <c r="B17" s="44">
        <v>0.2</v>
      </c>
      <c r="C17" s="47">
        <f>C13*B17</f>
        <v>1554</v>
      </c>
      <c r="D17" s="48">
        <f>D13*B17</f>
        <v>1641</v>
      </c>
      <c r="E17" s="48">
        <f>E13*B17</f>
        <v>1728</v>
      </c>
      <c r="F17" s="48">
        <f>F13*B17</f>
        <v>1816</v>
      </c>
      <c r="G17" s="48">
        <f>G13*B17</f>
        <v>1903</v>
      </c>
      <c r="H17" s="48">
        <f>H13*B17</f>
        <v>1991</v>
      </c>
      <c r="I17" s="48">
        <f>I13*B17</f>
        <v>2078</v>
      </c>
      <c r="J17" s="48">
        <f>J13*B17</f>
        <v>2165</v>
      </c>
      <c r="K17" s="48">
        <f>K13*B17</f>
        <v>2253</v>
      </c>
      <c r="L17" s="48">
        <f>L13*B17</f>
        <v>2340</v>
      </c>
      <c r="M17" s="48">
        <f>M13*B17</f>
        <v>2428</v>
      </c>
      <c r="N17" s="48">
        <f>N13*B17</f>
        <v>2515</v>
      </c>
      <c r="O17" s="48">
        <f>O13*B17</f>
        <v>2602</v>
      </c>
      <c r="P17" s="48">
        <f>P13*B17</f>
        <v>2690</v>
      </c>
      <c r="Q17" s="48">
        <f>Q13*B17</f>
        <v>2777</v>
      </c>
      <c r="R17" s="48">
        <f>R13*B17</f>
        <v>2865</v>
      </c>
      <c r="S17" s="48">
        <f>S13*B17</f>
        <v>2952</v>
      </c>
      <c r="T17" s="48" t="e">
        <f>T13*B17</f>
        <v>#VALUE!</v>
      </c>
      <c r="U17" s="48" t="e">
        <f>U13*B17</f>
        <v>#VALUE!</v>
      </c>
      <c r="V17" s="49" t="e">
        <f>V13*B17</f>
        <v>#VALUE!</v>
      </c>
      <c r="W17" s="4">
        <v>43</v>
      </c>
    </row>
    <row r="18" spans="1:23" ht="40.5" customHeight="1">
      <c r="A18" s="39" t="s">
        <v>15</v>
      </c>
      <c r="B18" s="106"/>
      <c r="C18" s="67" t="str">
        <f>IF(B18=0,"0",(C13)*B18)</f>
        <v>0</v>
      </c>
      <c r="D18" s="68">
        <f>IF(C18=0,"0",(D13)*B18)</f>
        <v>0</v>
      </c>
      <c r="E18" s="68" t="str">
        <f>IF(D18=0,"0",(E13)*B18)</f>
        <v>0</v>
      </c>
      <c r="F18" s="68">
        <f>IF(E18=0,"0",(F13)*B18)</f>
        <v>0</v>
      </c>
      <c r="G18" s="68" t="str">
        <f>IF(F18=0,"0",(G13)*B18)</f>
        <v>0</v>
      </c>
      <c r="H18" s="68">
        <f>IF(G18=0,"0",(H13)*B18)</f>
        <v>0</v>
      </c>
      <c r="I18" s="68" t="str">
        <f>IF(H18=0,"0",(I13)*B18)</f>
        <v>0</v>
      </c>
      <c r="J18" s="68">
        <f>IF(I18=0,"0",(J13)*B18)</f>
        <v>0</v>
      </c>
      <c r="K18" s="68" t="str">
        <f>IF(J18=0,"0",(K13)*B18)</f>
        <v>0</v>
      </c>
      <c r="L18" s="68">
        <f>IF(K18=0,"0",(L13)*B18)</f>
        <v>0</v>
      </c>
      <c r="M18" s="68" t="str">
        <f>IF(L18=0,"0",(M13)*B18)</f>
        <v>0</v>
      </c>
      <c r="N18" s="68">
        <f>IF(M18=0,"0",(N13)*B18)</f>
        <v>0</v>
      </c>
      <c r="O18" s="68" t="str">
        <f>IF(N18=0,"0",(O13)*B18)</f>
        <v>0</v>
      </c>
      <c r="P18" s="68">
        <f>IF(O18=0,"0",(P13)*B18)</f>
        <v>0</v>
      </c>
      <c r="Q18" s="68" t="str">
        <f>IF(P18=0,"0",(Q13)*B18)</f>
        <v>0</v>
      </c>
      <c r="R18" s="68">
        <f>IF(Q18=0,"0",(R13)*B18)</f>
        <v>0</v>
      </c>
      <c r="S18" s="68" t="str">
        <f>IF(R18=0,"0",(S13)*B18)</f>
        <v>0</v>
      </c>
      <c r="T18" s="68" t="e">
        <f>IF(S18=0,"0",(T13)*B18)</f>
        <v>#VALUE!</v>
      </c>
      <c r="U18" s="68" t="e">
        <f>IF(T18=0,"0",(U13)*B18)</f>
        <v>#VALUE!</v>
      </c>
      <c r="V18" s="69" t="e">
        <f>IF(U18=0,"0",(V13)*B18)</f>
        <v>#VALUE!</v>
      </c>
      <c r="W18" s="4">
        <v>44</v>
      </c>
    </row>
    <row r="19" spans="1:23" ht="40.5" customHeight="1" thickBot="1">
      <c r="A19" s="40" t="s">
        <v>12</v>
      </c>
      <c r="B19" s="104">
        <v>2</v>
      </c>
      <c r="C19" s="67">
        <f>C13*B19</f>
        <v>15540</v>
      </c>
      <c r="D19" s="68">
        <f>D13*B19</f>
        <v>16410</v>
      </c>
      <c r="E19" s="68">
        <f>E13*B19</f>
        <v>17280</v>
      </c>
      <c r="F19" s="68">
        <f>F13*B19</f>
        <v>18160</v>
      </c>
      <c r="G19" s="68">
        <f>G13*B19</f>
        <v>19030</v>
      </c>
      <c r="H19" s="68">
        <f>H13*B19</f>
        <v>19910</v>
      </c>
      <c r="I19" s="68">
        <f>I13*B19</f>
        <v>20780</v>
      </c>
      <c r="J19" s="68">
        <f>J13*B19</f>
        <v>21650</v>
      </c>
      <c r="K19" s="68">
        <f>K13*B19</f>
        <v>22530</v>
      </c>
      <c r="L19" s="68">
        <f>L13*B19</f>
        <v>23400</v>
      </c>
      <c r="M19" s="68">
        <f>M13*B19</f>
        <v>24280</v>
      </c>
      <c r="N19" s="68">
        <f>N13*B19</f>
        <v>25150</v>
      </c>
      <c r="O19" s="68">
        <f>O13*B19</f>
        <v>26020</v>
      </c>
      <c r="P19" s="68">
        <f>P13*B19</f>
        <v>26900</v>
      </c>
      <c r="Q19" s="68">
        <f>Q13*B19</f>
        <v>27770</v>
      </c>
      <c r="R19" s="68">
        <f>R13*B19</f>
        <v>28650</v>
      </c>
      <c r="S19" s="68">
        <f>S13*B19</f>
        <v>29520</v>
      </c>
      <c r="T19" s="68" t="e">
        <f>T13*B19</f>
        <v>#VALUE!</v>
      </c>
      <c r="U19" s="68" t="e">
        <f>U13*B19</f>
        <v>#VALUE!</v>
      </c>
      <c r="V19" s="69" t="e">
        <f>V13*B19</f>
        <v>#VALUE!</v>
      </c>
      <c r="W19" s="4">
        <v>45</v>
      </c>
    </row>
    <row r="20" spans="1:23" ht="40.5" customHeight="1" thickTop="1">
      <c r="A20" s="148" t="s">
        <v>13</v>
      </c>
      <c r="B20" s="149"/>
      <c r="C20" s="47" t="str">
        <f>IF(B18=0,"",(C18/12)+C21)</f>
        <v/>
      </c>
      <c r="D20" s="48" t="str">
        <f>IF(B18=0,"",(D18/12)+D21)</f>
        <v/>
      </c>
      <c r="E20" s="48" t="str">
        <f>IF(B18=0,"",(E18/12)+E21)</f>
        <v/>
      </c>
      <c r="F20" s="48" t="str">
        <f>IF(B18=0,"",(F18/12)+F21)</f>
        <v/>
      </c>
      <c r="G20" s="48" t="str">
        <f>IF(B18=0,"",(G18/12)+G21)</f>
        <v/>
      </c>
      <c r="H20" s="48" t="str">
        <f>IF(B18=0,"",(H18/12)+H21)</f>
        <v/>
      </c>
      <c r="I20" s="48" t="str">
        <f>IF(B18=0,"",(I18/12)+I21)</f>
        <v/>
      </c>
      <c r="J20" s="48" t="str">
        <f>IF(B18=0,"",(J18/12)+J21)</f>
        <v/>
      </c>
      <c r="K20" s="48" t="str">
        <f>IF(B18=0,"",(K18/12)+K21)</f>
        <v/>
      </c>
      <c r="L20" s="48" t="str">
        <f>IF(B18=0,"",(L18/12)+L21)</f>
        <v/>
      </c>
      <c r="M20" s="48" t="str">
        <f>IF(B18=0,"",(M18/12)+M21)</f>
        <v/>
      </c>
      <c r="N20" s="48" t="str">
        <f>IF(B18=0,"",(N18/12)+N21)</f>
        <v/>
      </c>
      <c r="O20" s="48" t="str">
        <f>IF(B18&gt;0,O18/12+O21,"")</f>
        <v/>
      </c>
      <c r="P20" s="48" t="str">
        <f>IF(B18&gt;0,P18/12+P21,"")</f>
        <v/>
      </c>
      <c r="Q20" s="48" t="str">
        <f>IF(B18&gt;0,Q18/12+Q21,"")</f>
        <v/>
      </c>
      <c r="R20" s="48" t="str">
        <f>IF(B18&gt;0,(R18/12)+R21,"")</f>
        <v/>
      </c>
      <c r="S20" s="48" t="str">
        <f>IF(B18&gt;0,(S18/12)+S21,"")</f>
        <v/>
      </c>
      <c r="T20" s="48" t="str">
        <f>IF(B18&gt;0,(T18/12)+T21,"")</f>
        <v/>
      </c>
      <c r="U20" s="48" t="str">
        <f>IF(B18&gt;0,(U18/12)+U21,"")</f>
        <v/>
      </c>
      <c r="V20" s="49" t="str">
        <f>IF(B18&gt;0,(V18/12)+V21,"")</f>
        <v/>
      </c>
      <c r="W20" s="4">
        <v>46</v>
      </c>
    </row>
    <row r="21" spans="1:23" ht="40.5" customHeight="1" thickBot="1">
      <c r="A21" s="146" t="s">
        <v>14</v>
      </c>
      <c r="B21" s="147"/>
      <c r="C21" s="71">
        <f>C13+C14+C15+C16+C17</f>
        <v>9324.7000000000007</v>
      </c>
      <c r="D21" s="110">
        <f t="shared" ref="D21:V21" si="2">D13+D14+D15+D16+D17</f>
        <v>9807.5499999999993</v>
      </c>
      <c r="E21" s="110">
        <f t="shared" si="2"/>
        <v>10290.4</v>
      </c>
      <c r="F21" s="110">
        <f t="shared" si="2"/>
        <v>10778.8</v>
      </c>
      <c r="G21" s="110">
        <f t="shared" si="2"/>
        <v>11261.65</v>
      </c>
      <c r="H21" s="110">
        <f t="shared" si="2"/>
        <v>11750.05</v>
      </c>
      <c r="I21" s="110">
        <f t="shared" si="2"/>
        <v>12232.9</v>
      </c>
      <c r="J21" s="110">
        <f t="shared" si="2"/>
        <v>12715.75</v>
      </c>
      <c r="K21" s="110">
        <f t="shared" si="2"/>
        <v>13204.15</v>
      </c>
      <c r="L21" s="110">
        <f t="shared" si="2"/>
        <v>13687</v>
      </c>
      <c r="M21" s="110">
        <f t="shared" si="2"/>
        <v>14175.4</v>
      </c>
      <c r="N21" s="110">
        <f t="shared" si="2"/>
        <v>14658.25</v>
      </c>
      <c r="O21" s="110">
        <f t="shared" si="2"/>
        <v>15141.1</v>
      </c>
      <c r="P21" s="110">
        <f t="shared" si="2"/>
        <v>15629.5</v>
      </c>
      <c r="Q21" s="110">
        <f t="shared" si="2"/>
        <v>16112.35</v>
      </c>
      <c r="R21" s="110">
        <f t="shared" si="2"/>
        <v>16600.75</v>
      </c>
      <c r="S21" s="110">
        <f t="shared" si="2"/>
        <v>17083.599999999999</v>
      </c>
      <c r="T21" s="110" t="e">
        <f t="shared" si="2"/>
        <v>#VALUE!</v>
      </c>
      <c r="U21" s="110" t="e">
        <f t="shared" si="2"/>
        <v>#VALUE!</v>
      </c>
      <c r="V21" s="111" t="e">
        <f t="shared" si="2"/>
        <v>#VALUE!</v>
      </c>
      <c r="W21" s="4">
        <v>47</v>
      </c>
    </row>
    <row r="22" spans="1:23" s="13" customFormat="1" ht="40.5" customHeight="1" thickTop="1" thickBot="1">
      <c r="A22" s="132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5"/>
      <c r="W22" s="4">
        <v>48</v>
      </c>
    </row>
    <row r="23" spans="1:23" s="13" customFormat="1" ht="40.5" customHeight="1" thickTop="1">
      <c r="A23" s="11"/>
      <c r="B23" s="12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W23" s="4">
        <v>49</v>
      </c>
    </row>
    <row r="24" spans="1:23" s="13" customFormat="1" ht="40.5" customHeight="1">
      <c r="A24" s="11"/>
      <c r="B24" s="12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W24" s="4">
        <v>50</v>
      </c>
    </row>
    <row r="25" spans="1:23" s="13" customFormat="1">
      <c r="A25" s="11"/>
      <c r="B25" s="12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W25" s="4">
        <v>51</v>
      </c>
    </row>
    <row r="26" spans="1:23">
      <c r="W26" s="4">
        <v>61</v>
      </c>
    </row>
    <row r="27" spans="1:23">
      <c r="W27" s="4">
        <v>62</v>
      </c>
    </row>
    <row r="28" spans="1:23">
      <c r="W28" s="4">
        <v>63</v>
      </c>
    </row>
    <row r="29" spans="1:23">
      <c r="W29" s="4">
        <v>64</v>
      </c>
    </row>
  </sheetData>
  <sheetProtection password="CCDF" sheet="1" objects="1" scenarios="1"/>
  <protectedRanges>
    <protectedRange password="CAE1" sqref="B19" name="مكافأت رمضان"/>
    <protectedRange password="DD06" sqref="B17 B14" name="علاوة"/>
    <protectedRange password="8E16" sqref="B16" name="التقاعد"/>
  </protectedRanges>
  <mergeCells count="20">
    <mergeCell ref="A22:V22"/>
    <mergeCell ref="A21:B21"/>
    <mergeCell ref="A20:B20"/>
    <mergeCell ref="A10:B10"/>
    <mergeCell ref="S8:V8"/>
    <mergeCell ref="E6:R8"/>
    <mergeCell ref="A9:B9"/>
    <mergeCell ref="A8:C8"/>
    <mergeCell ref="C6:D6"/>
    <mergeCell ref="A12:B12"/>
    <mergeCell ref="A13:B13"/>
    <mergeCell ref="C5:D5"/>
    <mergeCell ref="S5:V5"/>
    <mergeCell ref="S6:V6"/>
    <mergeCell ref="S1:V1"/>
    <mergeCell ref="S2:V2"/>
    <mergeCell ref="S4:V4"/>
    <mergeCell ref="A1:D1"/>
    <mergeCell ref="A2:D2"/>
    <mergeCell ref="A3:C3"/>
  </mergeCells>
  <conditionalFormatting sqref="C10:V13 C19:V21 C15:V17">
    <cfRule type="cellIs" dxfId="4" priority="8" operator="lessThan">
      <formula>0</formula>
    </cfRule>
    <cfRule type="cellIs" dxfId="3" priority="9" operator="greaterThan">
      <formula>0</formula>
    </cfRule>
  </conditionalFormatting>
  <conditionalFormatting sqref="C18:V18">
    <cfRule type="cellIs" dxfId="2" priority="7" operator="greaterThan">
      <formula>0</formula>
    </cfRule>
  </conditionalFormatting>
  <conditionalFormatting sqref="C14:V14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type="list" errorStyle="information" showDropDown="1" showInputMessage="1" showErrorMessage="1" errorTitle="مراتب موظفي مؤسسة البريد السعودي" error="الموظفين_x000a_من 36  حتى 51_x000a__x000a_المستخدمين_x000a_من 17  حتى 21_x000a__x000a_بند العمال_x000a_من 61  حتى 64" promptTitle="ادخل المرتبة حسب التالي" prompt="    الموظفين_x000a_من 36  حتى 51_x000a__x000a_   المستخدمين_x000a_من 17  حتى 21_x000a__x000a_    بند الاجور_x000a_من 61  حتى 64" sqref="B5">
      <formula1>$W$1:$W$29</formula1>
    </dataValidation>
  </dataValidations>
  <hyperlinks>
    <hyperlink ref="A22" r:id="rId1"/>
    <hyperlink ref="A8:C8" location="'البريد السعودي'!A1" tooltip="الانتقال للسلم القديم1431" display="الانتقال للرواتب قبل المكرمة"/>
  </hyperlink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52" orientation="landscape" blackAndWhite="1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Button 1">
              <controlPr defaultSize="0" print="0" autoFill="0" autoPict="0" macro="[0]!رجوع">
                <anchor moveWithCells="1" siz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276225</xdr:colOff>
                    <xdr:row>0</xdr:row>
                    <xdr:rowOff>361950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3</vt:i4>
      </vt:variant>
      <vt:variant>
        <vt:lpstr>نطاقات تمت تسميتها</vt:lpstr>
      </vt:variant>
      <vt:variant>
        <vt:i4>8</vt:i4>
      </vt:variant>
    </vt:vector>
  </HeadingPairs>
  <TitlesOfParts>
    <vt:vector size="11" baseType="lpstr">
      <vt:lpstr>البريد السعودي</vt:lpstr>
      <vt:lpstr>الفروقات لموظفي البريد السوعودي</vt:lpstr>
      <vt:lpstr>سلم رواتب موظفي ومستخدمي وعمال </vt:lpstr>
      <vt:lpstr>'البريد السعودي'!Print_Area</vt:lpstr>
      <vt:lpstr>'الفروقات لموظفي البريد السوعودي'!Print_Area</vt:lpstr>
      <vt:lpstr>'سلم رواتب موظفي ومستخدمي وعمال '!Print_Area</vt:lpstr>
      <vt:lpstr>الانتقال_الى_الرواتب</vt:lpstr>
      <vt:lpstr>الانتقال_الى_الرواتب_قبل_المكرمة</vt:lpstr>
      <vt:lpstr>'البريد السعودي'!تصميم_عيسى_ابراهيم_الملاح</vt:lpstr>
      <vt:lpstr>'الفروقات لموظفي البريد السوعودي'!تصميم_عيسى_ابراهيم_الملاح</vt:lpstr>
      <vt:lpstr>تصميم_عيسى_ابراهيم_الملاح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eissa1391</dc:creator>
  <cp:lastModifiedBy>eissa1391</cp:lastModifiedBy>
  <cp:lastPrinted>2011-02-26T19:38:39Z</cp:lastPrinted>
  <dcterms:created xsi:type="dcterms:W3CDTF">2010-12-10T21:14:50Z</dcterms:created>
  <dcterms:modified xsi:type="dcterms:W3CDTF">2011-03-08T03:51:01Z</dcterms:modified>
</cp:coreProperties>
</file>